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3296447" sheetId="1" r:id="rId1"/>
  </sheets>
  <calcPr calcId="145621"/>
</workbook>
</file>

<file path=xl/calcChain.xml><?xml version="1.0" encoding="utf-8"?>
<calcChain xmlns="http://schemas.openxmlformats.org/spreadsheetml/2006/main">
  <c r="N497" i="1" l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<sst xmlns="http://schemas.openxmlformats.org/spreadsheetml/2006/main" count="3793" uniqueCount="1629">
  <si>
    <t>LOCATION</t>
  </si>
  <si>
    <t>LOT #</t>
  </si>
  <si>
    <t>CATEGORY</t>
  </si>
  <si>
    <t>RETURN TYPE</t>
  </si>
  <si>
    <t># OF PALLETS</t>
  </si>
  <si>
    <t># OF CARTONS</t>
  </si>
  <si>
    <t>WEIGHT</t>
  </si>
  <si>
    <t>TOTAL ORIGINAL COST</t>
  </si>
  <si>
    <t>TOTAL ORIGINAL RETAIL</t>
  </si>
  <si>
    <t># OF UNITS</t>
  </si>
  <si>
    <t>TEXTILES</t>
  </si>
  <si>
    <t>STORE STOCK</t>
  </si>
  <si>
    <t>CLIENT COST</t>
  </si>
  <si>
    <t>ORIGINAL COST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</si>
  <si>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</si>
  <si>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</si>
  <si>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</si>
  <si>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</si>
  <si>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</si>
  <si>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</si>
  <si>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</si>
  <si>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</si>
  <si>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</si>
  <si>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</si>
  <si>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</si>
  <si>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</si>
  <si>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800298618419</t>
  </si>
  <si>
    <t>Donna Karan Moonscape Reversible Textured Charcoal King</t>
  </si>
  <si>
    <t>MOD118173DVJ</t>
  </si>
  <si>
    <t>GRAY</t>
  </si>
  <si>
    <t>NEO COLLECTNS</t>
  </si>
  <si>
    <t>DONNA KARAN HOME/CHF INDUSTRIES</t>
  </si>
  <si>
    <t>IMPORTED</t>
  </si>
  <si>
    <t>POLYESTER/RAYON</t>
  </si>
  <si>
    <t>886087347487</t>
  </si>
  <si>
    <t>Lauren Ralph Lauren Lauren Ralph Lauren Lucie Flor Cream Multi King</t>
  </si>
  <si>
    <t>NATURAL</t>
  </si>
  <si>
    <t>LAUREN BEDDNG</t>
  </si>
  <si>
    <t>LAUREN BY RL/RALPH LAUREN HOME COLL</t>
  </si>
  <si>
    <t>100% COTTON</t>
  </si>
  <si>
    <t>800298618402</t>
  </si>
  <si>
    <t>Donna Karan Moonscape Reversible Textured Charcoal FullQueen</t>
  </si>
  <si>
    <t>MOD118173DVG</t>
  </si>
  <si>
    <t>86569157645</t>
  </si>
  <si>
    <t>Madison Park Essentials Brystol 24-Pc. Cali Brown California King</t>
  </si>
  <si>
    <t>MPE10-786</t>
  </si>
  <si>
    <t>BROWN</t>
  </si>
  <si>
    <t>MOD BEDDING</t>
  </si>
  <si>
    <t>JLA HOME/E &amp; E CO LTD</t>
  </si>
  <si>
    <t>COMFORTER/SHAM/EUROPEAN SHAM/SHEETS: POLYESTER 85 GRAMS PER SQUARE METER; BEDSKIRT/DECORATIVE PILLOW/WINDOW PANELS/TIEBACKS/VALANCE: POLYESTER; COMFORTER FILL: POLYESTER 270 GRAMS PER SQUARE METER; DECORATIVE PILLOW FILL: POLYESTER</t>
  </si>
  <si>
    <t>848742075753</t>
  </si>
  <si>
    <t>Lush Decor Farmhouse Stripe Reversible 3- Red King</t>
  </si>
  <si>
    <t>16T003096</t>
  </si>
  <si>
    <t>RED</t>
  </si>
  <si>
    <t>LUSH DECOR/TRIANGLE HOME FASHIONS</t>
  </si>
  <si>
    <t>COTTON/POLYESTER</t>
  </si>
  <si>
    <t>675716979997</t>
  </si>
  <si>
    <t>Madison Park Aubrey 12-Pc. King Comforter S Navy King</t>
  </si>
  <si>
    <t>MP10-4696</t>
  </si>
  <si>
    <t>NAVY</t>
  </si>
  <si>
    <t>COMFORTER, SHAMS, BEDSKIRT AND DECORATIVE PILLOWS: POLYESTER/COTTON</t>
  </si>
  <si>
    <t>726895696271</t>
  </si>
  <si>
    <t>Hotel Collection Linen FullQueen Duvet Cover Grey FullQueen</t>
  </si>
  <si>
    <t>100024678FQ</t>
  </si>
  <si>
    <t>MED GRAY</t>
  </si>
  <si>
    <t>HOTEL LUX BDG</t>
  </si>
  <si>
    <t>HOTEL BY C CLUB-EDI/RWI/FA</t>
  </si>
  <si>
    <t>IN LINEN, A LIGHTWEIGHT YEAR-ROUND FABRIC THAT GETS SOFTER WITH EVERY WASH</t>
  </si>
  <si>
    <t>718498104208</t>
  </si>
  <si>
    <t>Shavel Micro Flannel 7 Layers of Wa Greystone Queen</t>
  </si>
  <si>
    <t>EBQNGRS</t>
  </si>
  <si>
    <t>PB BLANKETS</t>
  </si>
  <si>
    <t>MICRO FLANNEL/SHAVEL ASSOCIATES INC</t>
  </si>
  <si>
    <t>FABRIC AND FILL: POLYESTER</t>
  </si>
  <si>
    <t>886087345957</t>
  </si>
  <si>
    <t>Lauren Ralph Lauren Cotton Textured King Bed Blank Natural King</t>
  </si>
  <si>
    <t>ALL COTTON</t>
  </si>
  <si>
    <t>675716924577</t>
  </si>
  <si>
    <t>Madison Park Madison Park Princeton 5-Pc Ki Red King</t>
  </si>
  <si>
    <t>MP13-4341</t>
  </si>
  <si>
    <t>DEC PILL/THRW</t>
  </si>
  <si>
    <t>100% POLYESTER; BEDSPREAD FILL: 90% COTTON, 5% POLYESTER, 5% OTHER FIBER</t>
  </si>
  <si>
    <t>732998346661</t>
  </si>
  <si>
    <t>Martha Stewart Collection Ivory Paisley Plume 14-Pc. Que Ivory Queen</t>
  </si>
  <si>
    <t>100089179QN</t>
  </si>
  <si>
    <t>CLSD-MS M/BED</t>
  </si>
  <si>
    <t>MARTHA STEWART-EDI/BCP HOME INC</t>
  </si>
  <si>
    <t>86569271099</t>
  </si>
  <si>
    <t>Urban Habitat Urban Habitat Calum 5-Piece Ki Grey KingCalifornia King</t>
  </si>
  <si>
    <t>UH10-2298</t>
  </si>
  <si>
    <t>COTTON WITH POLYESTER FILLING</t>
  </si>
  <si>
    <t>86569271655</t>
  </si>
  <si>
    <t>Madison Park Mavis 8 Piece King Cotton Prin Dark Blue King</t>
  </si>
  <si>
    <t>MP10-6585</t>
  </si>
  <si>
    <t>DARK BLUE</t>
  </si>
  <si>
    <t>COMFORTER/SHAM: COTTON FACE, COTTON/POLYESTER BACK; BEDSKIRT/EURO SHAMS/DECORATIVE PILLOW COVER: COTTON/POLYESTER; COMFORTER AND DECORATIVE PILLOW WITH POLYESTER FILLING</t>
  </si>
  <si>
    <t>732998868767</t>
  </si>
  <si>
    <t>Martha Stewart Collection Artisan Sunburst Patchwork Ful Orange FullQueen</t>
  </si>
  <si>
    <t>100084992FQ</t>
  </si>
  <si>
    <t>ORANGE</t>
  </si>
  <si>
    <t>PB SEASON BED</t>
  </si>
  <si>
    <t>MARTHA STEWART-MMG/COLLECTION 43417</t>
  </si>
  <si>
    <t>732996465708</t>
  </si>
  <si>
    <t>Hotel Collection Classic Flourish Damask FullQ Brown FullQueen</t>
  </si>
  <si>
    <t>100061793FQ</t>
  </si>
  <si>
    <t>MED BROWN</t>
  </si>
  <si>
    <t>675716842864</t>
  </si>
  <si>
    <t>Madison Park Mindy Cotton 9-Pc. Queen Comfo Seafoam Queen</t>
  </si>
  <si>
    <t>MP10-3631</t>
  </si>
  <si>
    <t>TURQ/AQUA</t>
  </si>
  <si>
    <t>COMFORTER/SHAM: COTTON, REVERSE TO COTTON/POLYESTER THREAD COUNT: 180; BEDSKIRT DROP/SHAM: COTTON/POLYESTER THREAD COUNT: 180; BEDSKIRT PLATFORM: POLYESTER; PILLOW: COTTON/POLYESTER THREAD COUNT: 180; COMFORTER FILL: POLYESTER 270 GRAMS PER SQUARE METER</t>
  </si>
  <si>
    <t>635983501611</t>
  </si>
  <si>
    <t>Ella Jayne Soft Luxurious White Down 100 White Standard</t>
  </si>
  <si>
    <t>BMI10854LS</t>
  </si>
  <si>
    <t>WHITE</t>
  </si>
  <si>
    <t>SINGLE</t>
  </si>
  <si>
    <t>PILLWS&amp;PADS</t>
  </si>
  <si>
    <t>ELLA JAYNE/PILLOW GUY INC</t>
  </si>
  <si>
    <t>MADE IN USA</t>
  </si>
  <si>
    <t>675716801724</t>
  </si>
  <si>
    <t>Madison Park Madison Park Willa 6-Pc FullQ Green FullQueen</t>
  </si>
  <si>
    <t>MP13-3240</t>
  </si>
  <si>
    <t>GREEN</t>
  </si>
  <si>
    <t>COVERLET/SHAM: 100% COTTON SATEEN FACE, COTTON/POLYESTER BLEND REVERSE; DEC PILLOW: COTTON/POLYESTER BLEND FABRIC; COVERLET FILL: 90% COTTON, 5% PLYESTER,5% OTHER FIBERS; DECORATIVE PILLOW FILL: 100% POLYESTER</t>
  </si>
  <si>
    <t>855448007070</t>
  </si>
  <si>
    <t>Huggaroo Huggaroo Plush Duvet Weighte Gray</t>
  </si>
  <si>
    <t>HWB15MDG</t>
  </si>
  <si>
    <t>SILVER</t>
  </si>
  <si>
    <t>HUGGAROO</t>
  </si>
  <si>
    <t>POLYESTER, COTTON</t>
  </si>
  <si>
    <t>675716771997</t>
  </si>
  <si>
    <t>Madison Park Madison Park Quebec 3-Piece Qu Navy Queen</t>
  </si>
  <si>
    <t>MP13-2991</t>
  </si>
  <si>
    <t>COTTON/POLYESTER/OTHER FIBER</t>
  </si>
  <si>
    <t>86569267498</t>
  </si>
  <si>
    <t>Madison Park Blaire 7-Pc. Faux-Silk Queen C Tan Queen</t>
  </si>
  <si>
    <t>MP10-6578</t>
  </si>
  <si>
    <t>MED BEIGE</t>
  </si>
  <si>
    <t>FAUX-SILK COMFORTER AND SHAM FACE: POLYESTER; MICROFIBER FROM POLYESTER REVERSE; BEDSKIRT: POLYESTER; DECORATIVE PILLOWS: POLYESTER; POLYESTER FILL; COMFORTER FILL: POLYESTER 8-OZ. PER SQUARE YARD</t>
  </si>
  <si>
    <t>675716768867</t>
  </si>
  <si>
    <t>Madison Park Arctic 3-Pc. KingCalifornia K Grey KingCalifornia King</t>
  </si>
  <si>
    <t>BASI10-0409</t>
  </si>
  <si>
    <t>FACE, BACK, AND FILLING: POLYESTER</t>
  </si>
  <si>
    <t>675716488673</t>
  </si>
  <si>
    <t>Madison Park Madison Park Princeton 5-Pc Ki Blue King</t>
  </si>
  <si>
    <t>MP13-614</t>
  </si>
  <si>
    <t>100% POLYESTER; COVERLET FILL: 100% COTTON; DECORATIVE PILLOW FILL: 100% POLYESTER</t>
  </si>
  <si>
    <t>86569991454</t>
  </si>
  <si>
    <t>Madison Park Breanna 4-Pc. FullQueen Quilt Ivory FullQueen</t>
  </si>
  <si>
    <t>MP13-5485</t>
  </si>
  <si>
    <t>COTTON; POLYESTER FILL</t>
  </si>
  <si>
    <t>675716382797</t>
  </si>
  <si>
    <t>Madison Park Attingham 7-Pc. FullQueen Cov Beige FullQueen</t>
  </si>
  <si>
    <t>MP13-240</t>
  </si>
  <si>
    <t>BEIGEKHAKI</t>
  </si>
  <si>
    <t>COVERLET/PILLOWS: POLYESTER; SHAMS: POLYESTER; COVERLET FILL: COTTON/POLYESTER; PILLOW FILL: POLYESTER</t>
  </si>
  <si>
    <t>86569003355</t>
  </si>
  <si>
    <t>Urban Habitat Brooklyn 7-Pc. FullQueen Cott Grey FullQueen</t>
  </si>
  <si>
    <t>UH12-2163</t>
  </si>
  <si>
    <t>DUVET/SHAM: COTTON; PILLOW/EUROPEAN SHAM: COTTON; PILLOW FILL: POLYESTER</t>
  </si>
  <si>
    <t>675716809539</t>
  </si>
  <si>
    <t>Madison Park Madison Park Harper Velvet 3-P Grey KingCalifornia King</t>
  </si>
  <si>
    <t>MP13-3308</t>
  </si>
  <si>
    <t>FABRIC: POLYESTER; COVERLET FILL: COTTON/POLYESTER/OTHER 85 GSM</t>
  </si>
  <si>
    <t>675716809522</t>
  </si>
  <si>
    <t>Madison Park Madison Park Harper Velvet 3-P Taupe KingCalifornia King</t>
  </si>
  <si>
    <t>MP13-3306</t>
  </si>
  <si>
    <t>675716809508</t>
  </si>
  <si>
    <t>Madison Park Madison Park Harper Velvet 3-P Ivory KingCalifornia King</t>
  </si>
  <si>
    <t>MP13-3302</t>
  </si>
  <si>
    <t>675716809515</t>
  </si>
  <si>
    <t>Madison Park Madison Park Harper Velvet 3-P Navy KingCalifornia King</t>
  </si>
  <si>
    <t>MP13-3304</t>
  </si>
  <si>
    <t>675716688998</t>
  </si>
  <si>
    <t>Madison Park Madison Park Luna 6-Piece King Blue KingCalifornia King</t>
  </si>
  <si>
    <t>MP13-2121</t>
  </si>
  <si>
    <t>COVERLET/SHAM/PILLOW SHELL: POLYESTER; COVERLET FILL: COTTON/POLYESTER/OTHER 200 GRAMS PER SQUARE METER</t>
  </si>
  <si>
    <t>675716752637</t>
  </si>
  <si>
    <t>Madison Park Madison Park Dawn 6-Piece Full Coral FullQueen</t>
  </si>
  <si>
    <t>MP13-2799</t>
  </si>
  <si>
    <t>LT/PASPINK</t>
  </si>
  <si>
    <t>COVERLET AND SHAM FACE: COTTON; COTTON/POLYESTER REVERSE; DECORATIVE PILLOWS: COTTON/POLYESTER; POLYESTER FILL; COVERLET FILL: COTTON/POLYESTER/OTHER FIBERS 240 GRAMS PER SQUARE METER</t>
  </si>
  <si>
    <t>83013300077</t>
  </si>
  <si>
    <t>Croscill Croscill Carlotta 84 Curtain Multi ONE SIZE</t>
  </si>
  <si>
    <t>2A0-401O0-8090</t>
  </si>
  <si>
    <t>83/84 SGL</t>
  </si>
  <si>
    <t>TRAD TXTL COL</t>
  </si>
  <si>
    <t>EX-CELL HOME FASHIONS INC</t>
  </si>
  <si>
    <t>100% POLYESTER</t>
  </si>
  <si>
    <t>86569154781</t>
  </si>
  <si>
    <t>Madison Park Madison Park Tuscany 3-Pc King Seafoam KingCalifornia King</t>
  </si>
  <si>
    <t>MP13-6120</t>
  </si>
  <si>
    <t>MED GREEN</t>
  </si>
  <si>
    <t>POLYESTER/COTTON</t>
  </si>
  <si>
    <t>86569968029</t>
  </si>
  <si>
    <t>Madison Park Madison Park Sabrina 3-Pc Full White FullQueen</t>
  </si>
  <si>
    <t>MP13-5320</t>
  </si>
  <si>
    <t>100% COTTON CHENILLE; N/A</t>
  </si>
  <si>
    <t>675716660680</t>
  </si>
  <si>
    <t>Madison Park Rachel Reversible 6-Pc. KingC Navy KingCalifornia King</t>
  </si>
  <si>
    <t>MP13-1766</t>
  </si>
  <si>
    <t>COVERLET/SHAM/PILLOW: POLYESTER; COVERLET FILL: COTTON/POLYESTER; PILLOW FILL: POLYESTER</t>
  </si>
  <si>
    <t>846339047602</t>
  </si>
  <si>
    <t>J Queen New York Napoleon Gold 84 Window Panel Gold 84 inches</t>
  </si>
  <si>
    <t>180403084PR</t>
  </si>
  <si>
    <t>GOLD</t>
  </si>
  <si>
    <t>83/84 DBL</t>
  </si>
  <si>
    <t>J QUEEN NEW YORK INC</t>
  </si>
  <si>
    <t>POLYESTER</t>
  </si>
  <si>
    <t>25521677777</t>
  </si>
  <si>
    <t>Calvin Klein Almost Down King Down-Alternat White King</t>
  </si>
  <si>
    <t>67777FN</t>
  </si>
  <si>
    <t>KGCOMFORTE</t>
  </si>
  <si>
    <t>DOWN COMFORTR</t>
  </si>
  <si>
    <t>CALVIN KLEIN/HOLLANDER SLEEP</t>
  </si>
  <si>
    <t>MADE IN USA OF IMPORTED MATERIALS</t>
  </si>
  <si>
    <t>COTTON; FILL: DOWN ALTERNATIVE MICROFIBER</t>
  </si>
  <si>
    <t>675716320751</t>
  </si>
  <si>
    <t>Madison Park Madison Park Quebec 3-Piece Ki Ivory KingCalifornia King</t>
  </si>
  <si>
    <t>MP13-150</t>
  </si>
  <si>
    <t>LT BEIGE</t>
  </si>
  <si>
    <t>675716479497</t>
  </si>
  <si>
    <t>Madison Park Tissa 6-Pc. KingCalifornia Ki Orange KingCalifornia King</t>
  </si>
  <si>
    <t>MP13-485</t>
  </si>
  <si>
    <t>COVERLET/SHAM/PILLOW: POLYESTER; COVERLET FILL: COTTON/POLYESTER/OTHER; PILLOW FILL: POLYESTER</t>
  </si>
  <si>
    <t>675716507756</t>
  </si>
  <si>
    <t>Madison Park Madison Park Princeton 7-Pc Qu Blue Queen</t>
  </si>
  <si>
    <t>MP10-694</t>
  </si>
  <si>
    <t>100% POLYESTER; COMFORTER FILL: 100% POLYESTER; DECORATIVE PILLOW FILL: 100% POLYESTER</t>
  </si>
  <si>
    <t>848742021231</t>
  </si>
  <si>
    <t>Lush Decor Geo 52 x 84 Blackout Window Navy 52x84</t>
  </si>
  <si>
    <t>C21231P14-000</t>
  </si>
  <si>
    <t>86569154774</t>
  </si>
  <si>
    <t>Madison Park Madison Park Tuscany 3-Pc Full Seafoam FullQueen</t>
  </si>
  <si>
    <t>MP13-6119</t>
  </si>
  <si>
    <t>MICROFIBER FROM POLYESTER; COVERLET FILL: COTTON, POLYESTER</t>
  </si>
  <si>
    <t>675716546786</t>
  </si>
  <si>
    <t>Madison Park Madison Park Tuscany 3-Pc Full White FullQueen</t>
  </si>
  <si>
    <t>MP13-1037</t>
  </si>
  <si>
    <t>675716279325</t>
  </si>
  <si>
    <t>Madison Park Amherst 6-Pc. FullQueen Duvet Blue FullQueen</t>
  </si>
  <si>
    <t>MP12-045</t>
  </si>
  <si>
    <t>DUVET,PILLOWS,SHAMS, AND FILLING: POLYESTER</t>
  </si>
  <si>
    <t>8050844444371</t>
  </si>
  <si>
    <t>TERRAZZA ARR. STDSHM</t>
  </si>
  <si>
    <t>3FR6652E0741051CB103</t>
  </si>
  <si>
    <t>FRETTE INC</t>
  </si>
  <si>
    <t>MADE IN ITALY</t>
  </si>
  <si>
    <t>100% COTTON SATEEN</t>
  </si>
  <si>
    <t>86569154804</t>
  </si>
  <si>
    <t>Madison Park Madison Park Tuscany 3-Pc King Blush KingCalifornia King</t>
  </si>
  <si>
    <t>MP13-6122</t>
  </si>
  <si>
    <t>MED PINK</t>
  </si>
  <si>
    <t>783048113078</t>
  </si>
  <si>
    <t>400TC PERCALE</t>
  </si>
  <si>
    <t>SS3307MGQN-4700</t>
  </si>
  <si>
    <t>YOUNG CL HOME</t>
  </si>
  <si>
    <t>CHARISMA/PEM AMERICA INC</t>
  </si>
  <si>
    <t>675716567989</t>
  </si>
  <si>
    <t>Madison Park Madison Park Keaton 3-Piece Fu Grey FullQueen</t>
  </si>
  <si>
    <t>MP13-1238</t>
  </si>
  <si>
    <t>MICROFIBER FROM POLYESTER; COVERLET FILL: COTTON/POLYESTER</t>
  </si>
  <si>
    <t>675716490614</t>
  </si>
  <si>
    <t>Madison Park Madison Park Keaton 3-Piece Fu White FullQueen</t>
  </si>
  <si>
    <t>MP13-626</t>
  </si>
  <si>
    <t>726895969948</t>
  </si>
  <si>
    <t>Hotel Collection Madison Hemstitch Queen Flat S Oatmeal Queen</t>
  </si>
  <si>
    <t>100024654QN</t>
  </si>
  <si>
    <t>QUEEN FLAT</t>
  </si>
  <si>
    <t>LINEN; LACE AND STITCHLINE DETAILING: COTTON</t>
  </si>
  <si>
    <t>86569926968</t>
  </si>
  <si>
    <t>Madison Park Arya Reversible 3-Pc. FullQue Ivory FullQueen</t>
  </si>
  <si>
    <t>MP10-5058</t>
  </si>
  <si>
    <t>FABRIC: POLYESTER; POLYESTER FILL</t>
  </si>
  <si>
    <t>726895066722</t>
  </si>
  <si>
    <t>Hotel Collection Cotton Diamond Stripe FullQue Grey FullQueen</t>
  </si>
  <si>
    <t>1003966FQ</t>
  </si>
  <si>
    <t>HOTEL COLLECTION-EDI/RWI/PACFUNG</t>
  </si>
  <si>
    <t>672225323525</t>
  </si>
  <si>
    <t>Luxlen Luxlen Broadwell 7 Piece Comfo Gray California King</t>
  </si>
  <si>
    <t>P-OS-21186-CK</t>
  </si>
  <si>
    <t>CALKCOMFOR</t>
  </si>
  <si>
    <t>LUXLEN LLC</t>
  </si>
  <si>
    <t>886087293890</t>
  </si>
  <si>
    <t>Lauren Ralph Lauren Devon Lace Applique 18 Squar Cream</t>
  </si>
  <si>
    <t>12 SGL</t>
  </si>
  <si>
    <t>754069700073</t>
  </si>
  <si>
    <t>American Heritage Textiles Chunky Knit Throw Cream Throw</t>
  </si>
  <si>
    <t>70X52</t>
  </si>
  <si>
    <t>DONNA SHARP/AMERICAN HERITAGE TXTL</t>
  </si>
  <si>
    <t>100% ACRYLIC</t>
  </si>
  <si>
    <t>800298618440</t>
  </si>
  <si>
    <t>Donna Karan Moonscape Reversible Textured Charcoal European Sham</t>
  </si>
  <si>
    <t>MOD118173SAP</t>
  </si>
  <si>
    <t>675716320591</t>
  </si>
  <si>
    <t>Madison Park Madison Park Quebec 3-Piece Fu Seafoam FullQueen</t>
  </si>
  <si>
    <t>MP13-153</t>
  </si>
  <si>
    <t>LT/PAS GRN</t>
  </si>
  <si>
    <t>MICROFIBER FROM 100% POLYESTER; COVERLET FILL: 90% COTTON, 5% PLYESTER,5% OTHER FIBERS</t>
  </si>
  <si>
    <t>732997123980</t>
  </si>
  <si>
    <t>Lucky Brand Lucky Brand Faux Kantha Quilt Beigekhaki Throw</t>
  </si>
  <si>
    <t>CLSD-LKY BEDD</t>
  </si>
  <si>
    <t>LUCKY - MMG</t>
  </si>
  <si>
    <t>COTTON</t>
  </si>
  <si>
    <t>726895106237</t>
  </si>
  <si>
    <t>Hotel Collection Global Stripe Throw Light Beige Throw</t>
  </si>
  <si>
    <t>1002039TH</t>
  </si>
  <si>
    <t>HOTEL BY CC-EDI/RWI/SARITA HANDA</t>
  </si>
  <si>
    <t>840970157904</t>
  </si>
  <si>
    <t>Tahari Home Premium Embossed Deep Poc White Full</t>
  </si>
  <si>
    <t>THPD1-001-FWH</t>
  </si>
  <si>
    <t>CATHAY HOME INC</t>
  </si>
  <si>
    <t>MICROFIBER/POLYESTER</t>
  </si>
  <si>
    <t>86569926975</t>
  </si>
  <si>
    <t>Madison Park Arya Reversible 3-Pc. FullQue Blush FullQueen</t>
  </si>
  <si>
    <t>MP10-5061</t>
  </si>
  <si>
    <t>706255275544</t>
  </si>
  <si>
    <t>Charter Club Damask Designs 500 Thread Coun Geo Denim King</t>
  </si>
  <si>
    <t>DPKSGEODEN</t>
  </si>
  <si>
    <t>MED BLUE</t>
  </si>
  <si>
    <t>CHRT CLB DSGN</t>
  </si>
  <si>
    <t>CHARTER CLUB-EDI/RWI/LAMEIRINHO</t>
  </si>
  <si>
    <t>PIMA COTTON</t>
  </si>
  <si>
    <t>709271377414</t>
  </si>
  <si>
    <t>Calvin Klein Modern Cotton Body Twin Duvet White Twin</t>
  </si>
  <si>
    <t>141BODY-TW-W1-D2</t>
  </si>
  <si>
    <t>CALVIN KLEIN HOME/HIMATSINGKA AMER</t>
  </si>
  <si>
    <t>MADE IN CHINA</t>
  </si>
  <si>
    <t>COTTON/MODAL</t>
  </si>
  <si>
    <t>86569193605</t>
  </si>
  <si>
    <t>Madison Park Leona FullQueen 3 Piece Pom P Taupe FullQueen</t>
  </si>
  <si>
    <t>MP12-6218</t>
  </si>
  <si>
    <t>LT/PAS BWN</t>
  </si>
  <si>
    <t>86569183330</t>
  </si>
  <si>
    <t>Intelligent Design Toren 9-Pc. Queen Comforter Se Pink Queen</t>
  </si>
  <si>
    <t>ID10-1695</t>
  </si>
  <si>
    <t>PINK</t>
  </si>
  <si>
    <t>FABRIC: POLYESTER; COMFORTER/PILLOW FILL: POLYESTER 5 OUNCES PER SQUARE YARD</t>
  </si>
  <si>
    <t>86569004918</t>
  </si>
  <si>
    <t>JLA Home 510 Design Codee King 8 Piece White King</t>
  </si>
  <si>
    <t>5DS10-0002</t>
  </si>
  <si>
    <t>COMFORTER/SHAM/BEDSKIRT DROP/DECORATIVE PILLOW/EURO SHAM - 85GSM POLYESTER MICROFIBER, BEDSKIRT PLATFORM - POLYPROPYLENE NON-WOVEN FABRIC, COMFORTER/DECORATIVE PILLOW FILL - 100% POLYESTER</t>
  </si>
  <si>
    <t>83013945780</t>
  </si>
  <si>
    <t>Croscill Window Treatments, Galleria 82 Red 82x84</t>
  </si>
  <si>
    <t>2A0-401O0-6405</t>
  </si>
  <si>
    <t>MEDIUM RED</t>
  </si>
  <si>
    <t>732994620499</t>
  </si>
  <si>
    <t>Charter Club Damask Designs Embroidered Lat Blue Twin</t>
  </si>
  <si>
    <t>100021988TW</t>
  </si>
  <si>
    <t>RTCOMFORTE</t>
  </si>
  <si>
    <t>CHARTER CLUB-EDI/RWI/NAISHAT</t>
  </si>
  <si>
    <t>FABRIC: COTTON; THREAD COUNT: 300; POLYESTER FILLING</t>
  </si>
  <si>
    <t>783048019233</t>
  </si>
  <si>
    <t>Oceanfront Resort Oceanfront Resort Coco Paradis Multi FullQueen</t>
  </si>
  <si>
    <t>CS1964FQ-1500</t>
  </si>
  <si>
    <t>PEM AMERICA INC</t>
  </si>
  <si>
    <t>FACE CLOTH IS 200 THREAD COUNT COTTON FABRIC WITH A 180 THREAD COUNT COTTON REVERSE CLOTH AND FILLED WITH 100% POLYESTER FILLING.</t>
  </si>
  <si>
    <t>800298618426</t>
  </si>
  <si>
    <t>Donna Karan Moonscape Reversible Textured Charcoal Standard Sham</t>
  </si>
  <si>
    <t>MOD118173SAA</t>
  </si>
  <si>
    <t>STDTAILOR</t>
  </si>
  <si>
    <t>841323167823</t>
  </si>
  <si>
    <t>Geneva Home Fashion Nelli 5pc Queen Size Comforter Medium Beige FullQueen</t>
  </si>
  <si>
    <t>NEI5CSQUENGHTA</t>
  </si>
  <si>
    <t>GENEVA HOME FASHION LLC</t>
  </si>
  <si>
    <t>MICROFIBER POLYESTER</t>
  </si>
  <si>
    <t>732998408673</t>
  </si>
  <si>
    <t>Martha Stewart Collection Reversible Diamond Floral Patc White TwinTwin XL</t>
  </si>
  <si>
    <t>100082693TW</t>
  </si>
  <si>
    <t>675716674915</t>
  </si>
  <si>
    <t>Sleep Philosophy Peyton Reversible 3-Pc. King C Aqua King</t>
  </si>
  <si>
    <t>BASI10-0344</t>
  </si>
  <si>
    <t>FABRIC: POLYESTER 220 GSM; COMFORTER FILL: POLYESTER</t>
  </si>
  <si>
    <t>675716682880</t>
  </si>
  <si>
    <t>Madison Park Essentials Merritt Reversible GreyWhite FullQueen</t>
  </si>
  <si>
    <t>MPE13-134</t>
  </si>
  <si>
    <t>FACE AND REVERSE: POLYESTER; FILLING: COTTON</t>
  </si>
  <si>
    <t>86569929204</t>
  </si>
  <si>
    <t>Madison Park Madison Park Signature Grande Grey 24 x 60</t>
  </si>
  <si>
    <t>MPS72-330</t>
  </si>
  <si>
    <t>BATH RUGS/ACC</t>
  </si>
  <si>
    <t>845951078629</t>
  </si>
  <si>
    <t>Olivia Gray Olivia Gray Greenport Crinkle Open Pink King</t>
  </si>
  <si>
    <t>CMG103103K</t>
  </si>
  <si>
    <t>RAMALLAH TRADING CO INC</t>
  </si>
  <si>
    <t>47293437434</t>
  </si>
  <si>
    <t>Sure Fit Sure Fit Deep Pile Polyester V Sable Loveseat Slipcover</t>
  </si>
  <si>
    <t>122411120KL229</t>
  </si>
  <si>
    <t>RUSTCOPPER</t>
  </si>
  <si>
    <t>SURE FIT HOME PRODUCTS LLC</t>
  </si>
  <si>
    <t>842941109042</t>
  </si>
  <si>
    <t>Tribeca Living Barcelona 300 Thread Count Cot Multicolor Queen</t>
  </si>
  <si>
    <t>BARC5PDSKI</t>
  </si>
  <si>
    <t>ASSORTED</t>
  </si>
  <si>
    <t>TRIBECA LIVING/MARWAH CORPORATION</t>
  </si>
  <si>
    <t>FABRIC: 100% COTTON SATEEN; THREAD COUNT: 300</t>
  </si>
  <si>
    <t>783048037206</t>
  </si>
  <si>
    <t>Truly Soft Truly Soft Everyday Hotel Bord White And Black FullQueen</t>
  </si>
  <si>
    <t>CS2182WBFQ7-00</t>
  </si>
  <si>
    <t>86569280084</t>
  </si>
  <si>
    <t>Urban Dreams Ace 5PC Twin Comforter set Multi Twin</t>
  </si>
  <si>
    <t>MCH10-1575</t>
  </si>
  <si>
    <t>735732318320</t>
  </si>
  <si>
    <t>VCNY Home VCNY Home Amherst Reversible D Multi FullQueen</t>
  </si>
  <si>
    <t>AMH-5CS-FUQU-KO-MULT</t>
  </si>
  <si>
    <t>TEXTILES-EUROPE INC</t>
  </si>
  <si>
    <t>FABRIC: POLYESTER</t>
  </si>
  <si>
    <t>840970149596</t>
  </si>
  <si>
    <t>Cathay Home Inc. Ultimate Luxury Reversible Mic Burgundy King</t>
  </si>
  <si>
    <t>108267-BUR-K</t>
  </si>
  <si>
    <t>WINE</t>
  </si>
  <si>
    <t>FAUX SHERPA</t>
  </si>
  <si>
    <t>791551262367</t>
  </si>
  <si>
    <t>Martha Stewart Collection Triple Knit King Blanket Pink Rose King</t>
  </si>
  <si>
    <t>10028641KG</t>
  </si>
  <si>
    <t>MARTHA STEWART-EDI/BERKSHIRE</t>
  </si>
  <si>
    <t>733001386957</t>
  </si>
  <si>
    <t>Charter Club Damask Velvet 2 pc Twin Coverl Red Twin</t>
  </si>
  <si>
    <t>100108653TW</t>
  </si>
  <si>
    <t>CC MOD BEDDNG</t>
  </si>
  <si>
    <t>CHARTER CLUB-EDI/RWI/VTX</t>
  </si>
  <si>
    <t>675716490607</t>
  </si>
  <si>
    <t>Madison Park Madison Park Keaton 2-Piece Tw White TwinTwin XL</t>
  </si>
  <si>
    <t>MP13-625</t>
  </si>
  <si>
    <t>MICROFIBER FROM POLYESTER; COVERLET FILL: COTTON/POLYESTER/OTHER 85 GSM</t>
  </si>
  <si>
    <t>675716533854</t>
  </si>
  <si>
    <t>Intelligent Design Olivia 5-Pc. Reversible FullQ Pink FullQueen</t>
  </si>
  <si>
    <t>ID10-167</t>
  </si>
  <si>
    <t>COMFORTER: PRINTED POLYESTER PEACH SKIN; BRUSHED POLYESTER REVERSE; FILL: POLYESTER; SHAM: PRINTED POLYESTER PEACH SKIN; BRUSHED POLYESTER REVERSE; DECORATIVE PILLOW: FABRIC/FILL: POLYESTER</t>
  </si>
  <si>
    <t>732999126965</t>
  </si>
  <si>
    <t>Martha Stewart Collection Vintage Folklore FullQueen Qu Blue FullQueen</t>
  </si>
  <si>
    <t>100079760FQ</t>
  </si>
  <si>
    <t>840970151346</t>
  </si>
  <si>
    <t>Cathay Home Inc. Floral Pintuck FullQueen Comf White</t>
  </si>
  <si>
    <t>918900-FQ-WHT</t>
  </si>
  <si>
    <t>MICROFIBER</t>
  </si>
  <si>
    <t>22415475143</t>
  </si>
  <si>
    <t>AllerEase Organic Cotton Top Cover Water White Queen</t>
  </si>
  <si>
    <t>AMERICAN TEXTILE</t>
  </si>
  <si>
    <t>100% ORGANIC COTTON COVER</t>
  </si>
  <si>
    <t>843145100101</t>
  </si>
  <si>
    <t>Chic Home Chic Home Amandla 3 Piece King Beige King</t>
  </si>
  <si>
    <t>BQS00101-MC</t>
  </si>
  <si>
    <t>CHIC HOME DESIGN LLC</t>
  </si>
  <si>
    <t>FABRIC: POLYESTER MICROFIBER; FILL: POLYESTER</t>
  </si>
  <si>
    <t>732997143032</t>
  </si>
  <si>
    <t>Hotel Collection CLOSEOUT Hotel Collection Dec Gold European Sham</t>
  </si>
  <si>
    <t>100062729ER</t>
  </si>
  <si>
    <t>FRONT: COTTON/POLYESTER; BACK: COTTON; EMBROIDERY: POLYESTER/METALLIC</t>
  </si>
  <si>
    <t>726895696400</t>
  </si>
  <si>
    <t>Hotel Collection Linen 14 X 24 Decorative Pil Grey</t>
  </si>
  <si>
    <t>886087295542</t>
  </si>
  <si>
    <t>Lauren Ralph Lauren Spencer Cotton Sateen Border S White White Standard Sham</t>
  </si>
  <si>
    <t>STANDARD</t>
  </si>
  <si>
    <t>47293470141</t>
  </si>
  <si>
    <t>Hookless Hookless Mosaic 3-in-1 Shower Taupe 72X72</t>
  </si>
  <si>
    <t>221881480280HK7174</t>
  </si>
  <si>
    <t>BEIGE</t>
  </si>
  <si>
    <t>SURE FIT HOME PRODUCTS</t>
  </si>
  <si>
    <t>CURTAIN: POLYESTER, LINER: PEVA</t>
  </si>
  <si>
    <t>732996494227</t>
  </si>
  <si>
    <t>Hotel Collection Classic Jardin Queen Bedskirt Blush Queen</t>
  </si>
  <si>
    <t>100070641QN</t>
  </si>
  <si>
    <t>877512006130</t>
  </si>
  <si>
    <t>Cathay Home Inc. Ultimate Luxury Reversible Mic Camel Queen</t>
  </si>
  <si>
    <t>108267-CAM-Q</t>
  </si>
  <si>
    <t>86569097453</t>
  </si>
  <si>
    <t>510 Design 119 Khaki FullQueen</t>
  </si>
  <si>
    <t>5DS13-0168</t>
  </si>
  <si>
    <t>675716714772</t>
  </si>
  <si>
    <t>Madison Park Saratoga 100 x 84 Fretwork-P Ivory 100x84</t>
  </si>
  <si>
    <t>MP40-2400</t>
  </si>
  <si>
    <t>FABRIC: POLYESTER/COTTON/RAYON</t>
  </si>
  <si>
    <t>706257478974</t>
  </si>
  <si>
    <t>Hotel Collection Contrast Flange 18 Square Dec Sky</t>
  </si>
  <si>
    <t>2TS17DP2</t>
  </si>
  <si>
    <t>LT/PASBLUE</t>
  </si>
  <si>
    <t>HOTEL COLLECTION-MMG/HIMATSINGKA</t>
  </si>
  <si>
    <t>COTTON; FILL; POLYESTER</t>
  </si>
  <si>
    <t>800014126419</t>
  </si>
  <si>
    <t>Fiesta Cabana Stripe 4-Piece Queen Co Navy Blue Queen</t>
  </si>
  <si>
    <t>14831603CS-LAP</t>
  </si>
  <si>
    <t>ELLISON FIRST ASIA LLC</t>
  </si>
  <si>
    <t>635983499604</t>
  </si>
  <si>
    <t>Ella Jayne Overstuffed Plush MediumFirm White Queen</t>
  </si>
  <si>
    <t>BMI10191L2Q</t>
  </si>
  <si>
    <t>QUEEN</t>
  </si>
  <si>
    <t>SHELL: 220 THREAD COUNT POLYESTER MICROFIBER, FILL: 100% DOWN ALTERNATIVE FINE GEL FIBERS</t>
  </si>
  <si>
    <t>732994215718</t>
  </si>
  <si>
    <t>Charter Club Damask Designs Paisley 300-Thr Spice Twin</t>
  </si>
  <si>
    <t>100022742TW</t>
  </si>
  <si>
    <t>MMG-CHARTER CLUB</t>
  </si>
  <si>
    <t>FABRIC: 100% COTTON; POLYESTER FILL</t>
  </si>
  <si>
    <t>22415564120</t>
  </si>
  <si>
    <t>Sealy Luxury 100 Cotton Full Mattre White Full</t>
  </si>
  <si>
    <t>86569902702</t>
  </si>
  <si>
    <t>SunSmart Cassius 50 x 108 Marble Jacq Gold 50x108</t>
  </si>
  <si>
    <t>SS40-0006</t>
  </si>
  <si>
    <t>675716965549</t>
  </si>
  <si>
    <t>Intelligent Design Gemma 7-Pc. Twin XL Comforter Blue Twin XL</t>
  </si>
  <si>
    <t>ID10-1221</t>
  </si>
  <si>
    <t>FABRIC: POLYESTER; COMFORTER/PILLOW FILL: POLYESTER</t>
  </si>
  <si>
    <t>732998523925</t>
  </si>
  <si>
    <t>Martha Stewart Collection Flamingo Lagoon 2-Pc. TwinTwi Pink TwinTwin XL</t>
  </si>
  <si>
    <t>100077563TW</t>
  </si>
  <si>
    <t>DARK PINK</t>
  </si>
  <si>
    <t>MRTH STWRT WH</t>
  </si>
  <si>
    <t>MMG-MARTHA STEWART/YUNUS</t>
  </si>
  <si>
    <t>FABRIC: 100% COTTON 250 GRAMS PER SQUARE METER; THREAD COUNT: 250, REVERSES TO 144</t>
  </si>
  <si>
    <t>86569897404</t>
  </si>
  <si>
    <t>Madison Park Larkspur Reversible 3-Pc. King CharcoalGrey King</t>
  </si>
  <si>
    <t>MPE10-616</t>
  </si>
  <si>
    <t>CHARCOAL</t>
  </si>
  <si>
    <t>FABRIC: POLYESTER/ FILL: POLYESTER</t>
  </si>
  <si>
    <t>675716455569</t>
  </si>
  <si>
    <t>Madison Park Madison Park Aubrey Paisley 50 Champagne 50x84</t>
  </si>
  <si>
    <t>WIN40-091</t>
  </si>
  <si>
    <t>675716578930</t>
  </si>
  <si>
    <t>Intelligent Design Nadia 5-Pc. KingCalifornia Ki Yellow KingCalifornia King</t>
  </si>
  <si>
    <t>ID12-234</t>
  </si>
  <si>
    <t>YELLOW</t>
  </si>
  <si>
    <t>FABRIC: POLYESTER; PILLOW FILL: POLYESTER</t>
  </si>
  <si>
    <t>791551262329</t>
  </si>
  <si>
    <t>Martha Stewart Collection Triple Knit FullQueen Blanket Pink Rose FullQueen</t>
  </si>
  <si>
    <t>10028641FQ</t>
  </si>
  <si>
    <t>735732791307</t>
  </si>
  <si>
    <t>VCNY Home Hudson Puff Paint With Blackou Taupe 38x84</t>
  </si>
  <si>
    <t>HUF-4PN-7684-IN-TAUP</t>
  </si>
  <si>
    <t>VICTORIA/TEXTILES FROM EUROPE</t>
  </si>
  <si>
    <t>BLACKOUT PANEL: POLYESTER; PUFF PAINT PANEL: POLYESTER/COTTON</t>
  </si>
  <si>
    <t>726895696318</t>
  </si>
  <si>
    <t>Hotel Collection Linen King Sham Grey King Sham</t>
  </si>
  <si>
    <t>100024680KG</t>
  </si>
  <si>
    <t>732996193168</t>
  </si>
  <si>
    <t>Hotel Collection Autumn Leaf 14 x 26 Decorati Pastel 14x24</t>
  </si>
  <si>
    <t>LT/PAS PUR</t>
  </si>
  <si>
    <t>635983499611</t>
  </si>
  <si>
    <t>Ella Jayne Overstuffed Plush MediumFirm White King</t>
  </si>
  <si>
    <t>BMI10191L2K</t>
  </si>
  <si>
    <t>KING</t>
  </si>
  <si>
    <t>732996958767</t>
  </si>
  <si>
    <t>Martha Stewart Collection Longhair Faux Fur Throw Camel 50x60</t>
  </si>
  <si>
    <t>VALA78X7</t>
  </si>
  <si>
    <t>DEC PIL/THRWS</t>
  </si>
  <si>
    <t>MARTHA STEWART-EDI/JLA HOME</t>
  </si>
  <si>
    <t>FRONT: MODACRYLIC/ACRYLIC/POLYESTER; BACK: POLYESTER</t>
  </si>
  <si>
    <t>191790006836</t>
  </si>
  <si>
    <t>AQ Textiles York NuPercale 600-Thread Coun Ivory King</t>
  </si>
  <si>
    <t>70802104003AQT</t>
  </si>
  <si>
    <t>SHEETS &amp;CASES</t>
  </si>
  <si>
    <t>AQ TEXTILES</t>
  </si>
  <si>
    <t>726895696394</t>
  </si>
  <si>
    <t>Hotel Collection Voile European Sham Grey European Sham</t>
  </si>
  <si>
    <t>100024683ER</t>
  </si>
  <si>
    <t>726895696370</t>
  </si>
  <si>
    <t>Hotel Collection Voile King Sham Grey King Sham</t>
  </si>
  <si>
    <t>100024682KG</t>
  </si>
  <si>
    <t>734737474970</t>
  </si>
  <si>
    <t>Lacoste Home Solid Percale Queen Sheet Set Plum Queen</t>
  </si>
  <si>
    <t>DARKPURPLE</t>
  </si>
  <si>
    <t>LACOSTE/SUNHAM HOME FASHIONS</t>
  </si>
  <si>
    <t>22415621144</t>
  </si>
  <si>
    <t>Sealy Waterproof Queen Mattress Pad White Queen</t>
  </si>
  <si>
    <t>783048085412</t>
  </si>
  <si>
    <t>CA LX CTN Q BLS BLKT</t>
  </si>
  <si>
    <t>BK2979BSQN-4500</t>
  </si>
  <si>
    <t>732995531367</t>
  </si>
  <si>
    <t>Martha Stewart Collection Signature Scallop 3-Pc. Twin S Coral Twin</t>
  </si>
  <si>
    <t>100048767TW</t>
  </si>
  <si>
    <t>LT/PAS ORG</t>
  </si>
  <si>
    <t>MS COL SHEETS</t>
  </si>
  <si>
    <t>MARTHA STEWART-EDI/RWI/NAISHAT</t>
  </si>
  <si>
    <t>783048102584</t>
  </si>
  <si>
    <t>Truly Soft Truly Soft Cuddle Warmth 2 Pie Indigo TwinTwin XL</t>
  </si>
  <si>
    <t>CS3142INTX-1500</t>
  </si>
  <si>
    <t>840008332532</t>
  </si>
  <si>
    <t>Linenspa Signature CollectionAlways White King</t>
  </si>
  <si>
    <t>LSSCKK30GF</t>
  </si>
  <si>
    <t>MALOUF/CVB INC</t>
  </si>
  <si>
    <t>INNER MATERIAL: GEL MEMORY FOAM. COVER: POLYESTER</t>
  </si>
  <si>
    <t>22415475112</t>
  </si>
  <si>
    <t>AllerEase Organic Cotton Top Cover Water White Twin XL</t>
  </si>
  <si>
    <t>706258587842</t>
  </si>
  <si>
    <t>Hudson Park 500TC Iron Free Queen Flat She Ivory</t>
  </si>
  <si>
    <t>5I55QFL790</t>
  </si>
  <si>
    <t>HUDSON PARK-EDI/RWI/LAMEIRINHO-BLM</t>
  </si>
  <si>
    <t>100% PIMA COTTON</t>
  </si>
  <si>
    <t>86569040572</t>
  </si>
  <si>
    <t>JLA Home Urban Habitat Cole FullQueen Navy FullQueen</t>
  </si>
  <si>
    <t>UH12-2199</t>
  </si>
  <si>
    <t>675716556297</t>
  </si>
  <si>
    <t>JLA Home Mi Zone Ashton FullQueen 4 Pi Navy FullQueen</t>
  </si>
  <si>
    <t>MZ12-269</t>
  </si>
  <si>
    <t>DUVET COVER/SHAM/DECORATIVE PILLOW: 100% POLYESTER MICROFIBER; DECORATIVE PILLOW FILLING: 100% POLYESTER</t>
  </si>
  <si>
    <t>21864277940</t>
  </si>
  <si>
    <t>Avanti Galaxy Shower Curtain Silver</t>
  </si>
  <si>
    <t>11933H</t>
  </si>
  <si>
    <t>AVANTI LINENS/AVANTI LINENS INC</t>
  </si>
  <si>
    <t>POLYESTER/NYLON</t>
  </si>
  <si>
    <t>732998714576</t>
  </si>
  <si>
    <t>Hotel Collection LAST ACT Hotel Collection Cla Silver No Size</t>
  </si>
  <si>
    <t>16X16</t>
  </si>
  <si>
    <t>HOTEL BY CHARTER CLUB-MMG</t>
  </si>
  <si>
    <t>877512006154</t>
  </si>
  <si>
    <t>Cathay Home Inc. Ultimate Luxury Reversible Mic Pewter Twin</t>
  </si>
  <si>
    <t>108267-PEW-T</t>
  </si>
  <si>
    <t>846339081040</t>
  </si>
  <si>
    <t>J Queen New York Giovani 88.00 x 15.25 Paisle Spa ONE SIZE</t>
  </si>
  <si>
    <t>2246054STVAL</t>
  </si>
  <si>
    <t>86569904904</t>
  </si>
  <si>
    <t>Madison Park Irina 50 x 216 Embroidered D WhiteGrey 50x216</t>
  </si>
  <si>
    <t>MP40-4947</t>
  </si>
  <si>
    <t>675716866327</t>
  </si>
  <si>
    <t>Madison Park Madison Park Pacifica 54 x 84 Navy 54x84</t>
  </si>
  <si>
    <t>MP40-3939</t>
  </si>
  <si>
    <t>86569150639</t>
  </si>
  <si>
    <t>SunSmart Cassius 50 x 84 Marble Jacqu Greysilver 50x84</t>
  </si>
  <si>
    <t>SS40-0097</t>
  </si>
  <si>
    <t>86569295330</t>
  </si>
  <si>
    <t>Intelligent Design Raina Metallic Print 50 x 63 White 50x63</t>
  </si>
  <si>
    <t>ID40-1807</t>
  </si>
  <si>
    <t>100% POLYESTER MICROFIBER WITH 3 PASS FOAM BACK LINER</t>
  </si>
  <si>
    <t>86569007681</t>
  </si>
  <si>
    <t>Intelligent Design Raina Metallic-Print 50 x 84 Aqua 50x84</t>
  </si>
  <si>
    <t>ID40-1407</t>
  </si>
  <si>
    <t>885308319067</t>
  </si>
  <si>
    <t>Eclipse Nadya Solid Thermalayer Smokey Blue 52x95</t>
  </si>
  <si>
    <t>14380052095SEB</t>
  </si>
  <si>
    <t>BLUE</t>
  </si>
  <si>
    <t>KEECO LLC/GRASSI ASSOCIATES INC</t>
  </si>
  <si>
    <t>SHELL: POLYESTER/COTTON/RAYON/LINEN; LINING: POLYESTER</t>
  </si>
  <si>
    <t>732996958729</t>
  </si>
  <si>
    <t>Martha Stewart Collection Solid Faux Fur Throw Purple 50x60</t>
  </si>
  <si>
    <t>PURPLE</t>
  </si>
  <si>
    <t>FAUX FUR: POLYESTER</t>
  </si>
  <si>
    <t>732996958736</t>
  </si>
  <si>
    <t>Martha Stewart Collection Solid Faux Fur Throw Red 50x60</t>
  </si>
  <si>
    <t>689439269563</t>
  </si>
  <si>
    <t>Hotel Collection Voile European Sham Natural European Sham</t>
  </si>
  <si>
    <t>LN24QE790</t>
  </si>
  <si>
    <t>706258050377</t>
  </si>
  <si>
    <t>Charter Club Damask Supima Cotton 550-Threa Straw Gold Twin</t>
  </si>
  <si>
    <t>DLLSLTWSSTR</t>
  </si>
  <si>
    <t>DARK BEIGE</t>
  </si>
  <si>
    <t>SUPIMA COTTON</t>
  </si>
  <si>
    <t>86569230874</t>
  </si>
  <si>
    <t>Urban Dreams Sunny Days Twin 2-Pc. Comforte Multi Twin</t>
  </si>
  <si>
    <t>MCH10-1277</t>
  </si>
  <si>
    <t>COMFORTER FACE, REVERSE AND FILL: POLYESTER</t>
  </si>
  <si>
    <t>726895525519</t>
  </si>
  <si>
    <t>Hotel Collection Plume King Bedskirt White King</t>
  </si>
  <si>
    <t>1005781KG</t>
  </si>
  <si>
    <t>190052070387</t>
  </si>
  <si>
    <t>Superior Superior Lightweight Damask Sh Charcoal</t>
  </si>
  <si>
    <t>52X84CTSHDMKWH</t>
  </si>
  <si>
    <t>NO SIZE</t>
  </si>
  <si>
    <t>SUPERIOR/HOME CITY INC</t>
  </si>
  <si>
    <t>86569935151</t>
  </si>
  <si>
    <t>Madison Park Adrien Cotton 6-Pc. Super-Soft Blue Towel Set</t>
  </si>
  <si>
    <t>MPE73-667</t>
  </si>
  <si>
    <t>TOWELS</t>
  </si>
  <si>
    <t>100% COTTON; BATH TOWEL: 385GSM, HAND TOWEL: 368GSM, WASH TOWEL: 412GSM</t>
  </si>
  <si>
    <t>810001365431</t>
  </si>
  <si>
    <t>Southshore Fine Linens Southshore Fine Linens Classic Aqua Twin</t>
  </si>
  <si>
    <t>MF-COM-MLDY-TW-XL</t>
  </si>
  <si>
    <t>SOUTHSHORE FINE LIN/BARGAIN ONLINE</t>
  </si>
  <si>
    <t>HIGH QUALITY 110 GSM MICROFIBER</t>
  </si>
  <si>
    <t>734737474963</t>
  </si>
  <si>
    <t>Lacoste Home Solid Percale Full Sheet Set Plum Full</t>
  </si>
  <si>
    <t>COTTON PERCALE</t>
  </si>
  <si>
    <t>734737475021</t>
  </si>
  <si>
    <t>Lacoste Home Solid Percale Twin XL Sheet Se Plum Twin XL</t>
  </si>
  <si>
    <t>675716745813</t>
  </si>
  <si>
    <t>Madison Park Emilia 50 x 108 Lined Faux-S Dusty Aqua 50x108</t>
  </si>
  <si>
    <t>MP40-2685</t>
  </si>
  <si>
    <t>FAKE-SILK FABRIC AND LINING: POLYESTER</t>
  </si>
  <si>
    <t>28828984227</t>
  </si>
  <si>
    <t>WestPoint Home Martex Reversible FullQueen C KhakiChocolate FullQueen</t>
  </si>
  <si>
    <t>AYTZAC62975</t>
  </si>
  <si>
    <t>HONEY</t>
  </si>
  <si>
    <t>WESTPOINT HOME INC</t>
  </si>
  <si>
    <t>726895082470</t>
  </si>
  <si>
    <t>Hotel Collection Diamond Stripe 20 Square Deco Blue</t>
  </si>
  <si>
    <t>20X20</t>
  </si>
  <si>
    <t>FABRIC: LINEN/COTTON; FILL: POLYESTER</t>
  </si>
  <si>
    <t>54006623121</t>
  </si>
  <si>
    <t>Achim Halley 56x84 TP Ivory 56x84</t>
  </si>
  <si>
    <t>HLPN84IV06</t>
  </si>
  <si>
    <t>ACHIM IMPORTING CO INC</t>
  </si>
  <si>
    <t>54006631348</t>
  </si>
  <si>
    <t>Achim Halley 56x84 TP Ice Blue 56x84</t>
  </si>
  <si>
    <t>HLPN84IB06</t>
  </si>
  <si>
    <t>887522897697</t>
  </si>
  <si>
    <t>Deny Designs City Plaid Outdoor Throw Pillo Black No Size</t>
  </si>
  <si>
    <t>59400-OTHRP16</t>
  </si>
  <si>
    <t>BLACK</t>
  </si>
  <si>
    <t>DENY DESIGNS</t>
  </si>
  <si>
    <t>POLYESTER FABRIC/POLYESTER FILL</t>
  </si>
  <si>
    <t>675716976798</t>
  </si>
  <si>
    <t>Madison Park Madison Park Quebec 20 x 20 Red 20x20</t>
  </si>
  <si>
    <t>MP30-4650</t>
  </si>
  <si>
    <t>SHELL: POLYESTER; FILLING: COTTON</t>
  </si>
  <si>
    <t>675716822453</t>
  </si>
  <si>
    <t>Madison Park Madison Park Quebec 20 x 20 White 20x20</t>
  </si>
  <si>
    <t>MP30-3405</t>
  </si>
  <si>
    <t>46249602537</t>
  </si>
  <si>
    <t>Tommy Hilfiger Crosshatch 12 x 18 Decorativ Blue 12x18</t>
  </si>
  <si>
    <t>51T0061-OC-B1-D2</t>
  </si>
  <si>
    <t>12X18</t>
  </si>
  <si>
    <t>TOMMY HILFIGER/HIMATSINGKA AMERICA</t>
  </si>
  <si>
    <t>MADE IN USA AND IMPORTED</t>
  </si>
  <si>
    <t>191790036758</t>
  </si>
  <si>
    <t>Austin Home Collection Linden 900-Thread Count 4-Pc. Blue Queen</t>
  </si>
  <si>
    <t>24912103002AQT</t>
  </si>
  <si>
    <t>855130008002</t>
  </si>
  <si>
    <t>Cozy Comfort Hoodie Throw Blue ONE SIZE</t>
  </si>
  <si>
    <t>COMFYBLU</t>
  </si>
  <si>
    <t>COZY COMFORT COMPANY LLC</t>
  </si>
  <si>
    <t>791551262459</t>
  </si>
  <si>
    <t>Martha Stewart Collection Triple Knit Twin Blanket River Twin</t>
  </si>
  <si>
    <t>10028641TW</t>
  </si>
  <si>
    <t>COTTON/POLYESTER; FILL: POLYESTER</t>
  </si>
  <si>
    <t>791551262428</t>
  </si>
  <si>
    <t>Martha Stewart Collection Triple Knit Twin Blanket Pink Rose Twin</t>
  </si>
  <si>
    <t>732995626940</t>
  </si>
  <si>
    <t>Hotel Collection Woodrose 300-Thread Count 18 Medium Pink 18x18</t>
  </si>
  <si>
    <t>732996193236</t>
  </si>
  <si>
    <t>Hotel Collection Locked Geo Cotton 26 x 26 Eu White European Sham</t>
  </si>
  <si>
    <t>100064696ER</t>
  </si>
  <si>
    <t>48035018249</t>
  </si>
  <si>
    <t>Hedaya Home Made in Portugal Winston Matel White 20 x 20</t>
  </si>
  <si>
    <t>1357SQPL1BBF34N</t>
  </si>
  <si>
    <t>HEDAYA HOME FASHIONS INC</t>
  </si>
  <si>
    <t>89786381558</t>
  </si>
  <si>
    <t>Creative Bath Sheer Ruffles Shower Curtain White</t>
  </si>
  <si>
    <t>S0892WH</t>
  </si>
  <si>
    <t>CREATIVE BATH PRODUCTS</t>
  </si>
  <si>
    <t>783048107770</t>
  </si>
  <si>
    <t>Truly Soft Trey Plaid FullQueen Duvet Se Blue FullQueen</t>
  </si>
  <si>
    <t>DCS3227FQ-1800</t>
  </si>
  <si>
    <t>83013156247</t>
  </si>
  <si>
    <t>Croscill Croscill Janine European Sham Blue European Sham</t>
  </si>
  <si>
    <t>2A0-502C0-9001</t>
  </si>
  <si>
    <t>675716533427</t>
  </si>
  <si>
    <t>JLA Home Heathered Jersey 3-Pc. Solid T Grey Twin XL</t>
  </si>
  <si>
    <t>II20-079</t>
  </si>
  <si>
    <t>PREMIER COMFORT/E &amp; E CO LTD</t>
  </si>
  <si>
    <t>675716958688</t>
  </si>
  <si>
    <t>Madison Park Harper 42 x 84 Solid Crushed Cream 42x84</t>
  </si>
  <si>
    <t>MP40-4525</t>
  </si>
  <si>
    <t>732997143018</t>
  </si>
  <si>
    <t>Hotel Collection CLOSEOUT Hotel Collection Dec Gold King Sham</t>
  </si>
  <si>
    <t>100057833KG</t>
  </si>
  <si>
    <t>38992030248</t>
  </si>
  <si>
    <t>Waterford Jonet 12 X 24 Decorative Pil Creamaqua</t>
  </si>
  <si>
    <t>DPJNETF12X24W137</t>
  </si>
  <si>
    <t>WATERFORD/W-C HOME FASHIONS LLC</t>
  </si>
  <si>
    <t>38992030194</t>
  </si>
  <si>
    <t>Waterford Jones European Sham Creamaqua European Sham</t>
  </si>
  <si>
    <t>SHJNETW13726X26</t>
  </si>
  <si>
    <t>732995473872</t>
  </si>
  <si>
    <t>Charter Club Damask Designs Engraved Flower Grey Twin</t>
  </si>
  <si>
    <t>100037371TW</t>
  </si>
  <si>
    <t>FABRIC: 100% COTTON; THREAD COUNT: 300</t>
  </si>
  <si>
    <t>841643121727</t>
  </si>
  <si>
    <t>Duck River Textile Daenerys 38 x 84 Faux Silk B White 38x84</t>
  </si>
  <si>
    <t>DAEN13784-12</t>
  </si>
  <si>
    <t>DUCK RIVER TEXTILE</t>
  </si>
  <si>
    <t>846339080968</t>
  </si>
  <si>
    <t>J Queen New York Giovani White 18 Embroidered White</t>
  </si>
  <si>
    <t>224602018SQE</t>
  </si>
  <si>
    <t>8889173396</t>
  </si>
  <si>
    <t>Pendleton Canoe 18 X 18 Dec Pillow Aqua</t>
  </si>
  <si>
    <t>KIM PARKER/BRITANNICA HOME FASHIONS</t>
  </si>
  <si>
    <t>100% COTTON WITH EMBROIDERY ON FACE, POLYESTER BLOW FILL</t>
  </si>
  <si>
    <t>784857909920</t>
  </si>
  <si>
    <t>Idea Nuova Holiday Tree 17-Pc. Bath Set Multi No Size</t>
  </si>
  <si>
    <t>YK699437</t>
  </si>
  <si>
    <t>IDEA NUOVA INC</t>
  </si>
  <si>
    <t>784857909913</t>
  </si>
  <si>
    <t>Idea Nuova Holiday Snowflake 17-Pc. Bath Multi No Size</t>
  </si>
  <si>
    <t>YK699436</t>
  </si>
  <si>
    <t>675716671129</t>
  </si>
  <si>
    <t>Madison Park Madison Park Quinn 72 x 72 S Grey 72X72</t>
  </si>
  <si>
    <t>MP70-1919</t>
  </si>
  <si>
    <t>100% POLYESTER JACQUARD</t>
  </si>
  <si>
    <t>675716611323</t>
  </si>
  <si>
    <t>INKIVY Stockholm Color Block Throw Yellow Throw</t>
  </si>
  <si>
    <t>II50-240</t>
  </si>
  <si>
    <t>ACRYLIC</t>
  </si>
  <si>
    <t>86569045461</t>
  </si>
  <si>
    <t>INKIVY Stockholm Color Block Throw Navy Throw</t>
  </si>
  <si>
    <t>II50-1030</t>
  </si>
  <si>
    <t>675716846176</t>
  </si>
  <si>
    <t>Intelligent Design Adel 50x84 Printed Blackout W Yellow 50x84</t>
  </si>
  <si>
    <t>ID40-1014</t>
  </si>
  <si>
    <t>86569902931</t>
  </si>
  <si>
    <t>SunSmart Mirage 50 x 95 Damask Total Grey 50x95</t>
  </si>
  <si>
    <t>SS40-0017</t>
  </si>
  <si>
    <t>SHELL: POLYESTER;</t>
  </si>
  <si>
    <t>636202013663</t>
  </si>
  <si>
    <t>Martha Stewart Collection Reversible Plush Robe Red ONE SIZE</t>
  </si>
  <si>
    <t>PB TOWELS</t>
  </si>
  <si>
    <t>MARTHA STEWART-EDI/E &amp; E CO LTD</t>
  </si>
  <si>
    <t>735732053313</t>
  </si>
  <si>
    <t>VCNY Home Nina 2-Pc. Embossed Twin Quilt Ivory Twin</t>
  </si>
  <si>
    <t>NIA-QLT-TWIN-IN-IVOR</t>
  </si>
  <si>
    <t>675716981877</t>
  </si>
  <si>
    <t>Madison Park Hayden Reversible 2-Pc. Twin C Blue Twin</t>
  </si>
  <si>
    <t>MPE10-561</t>
  </si>
  <si>
    <t>732998021162</t>
  </si>
  <si>
    <t>Charter Club Damask Designs Outline Cimaron Red Twin</t>
  </si>
  <si>
    <t>100058460TW</t>
  </si>
  <si>
    <t>726895082487</t>
  </si>
  <si>
    <t>Hotel Collection Diamond Stripe 18 Square Deco Grey</t>
  </si>
  <si>
    <t>FABRIC: COTTON; FILL: POLYESTER</t>
  </si>
  <si>
    <t>675716665722</t>
  </si>
  <si>
    <t>Madison Park Ogee 60 x 70 Oversized Down- Tan 60x70</t>
  </si>
  <si>
    <t>MP50-1855</t>
  </si>
  <si>
    <t>732996467092</t>
  </si>
  <si>
    <t>Hotel Collection Classic Flourish Ruffled King Brown King Sham</t>
  </si>
  <si>
    <t>100071460KG</t>
  </si>
  <si>
    <t>735732244360</t>
  </si>
  <si>
    <t>VCNY Home X White</t>
  </si>
  <si>
    <t>CIP-BTH-17PC-MA-WHMU</t>
  </si>
  <si>
    <t>735732244391</t>
  </si>
  <si>
    <t>VCNY Home Ornament Lines 17-Pc. Holiday Red</t>
  </si>
  <si>
    <t>OL1-BTH-17PC-MA-RED</t>
  </si>
  <si>
    <t>751379599120</t>
  </si>
  <si>
    <t>Pillow Perfect Merry Christmas Words Grey-Red Grey No Size</t>
  </si>
  <si>
    <t>PILLOW PERFECT</t>
  </si>
  <si>
    <t>FELT</t>
  </si>
  <si>
    <t>726895203820</t>
  </si>
  <si>
    <t>Charter Club Damask Designs Embroidered 16 Poppy</t>
  </si>
  <si>
    <t>608356979256</t>
  </si>
  <si>
    <t>Charter Club Damask Designs Outline Embroid Black</t>
  </si>
  <si>
    <t>COTTON; FILL: POLYESTER</t>
  </si>
  <si>
    <t>675716714987</t>
  </si>
  <si>
    <t>Madison Park Emilia 50 x 95 Lined Faux-Si Spice 50x95</t>
  </si>
  <si>
    <t>MP40-2414</t>
  </si>
  <si>
    <t>DARKORANGE</t>
  </si>
  <si>
    <t>675716839710</t>
  </si>
  <si>
    <t>Madison Park Emilia 50 x 95 Lined Faux-Si Purple 50x95</t>
  </si>
  <si>
    <t>MP40-3553</t>
  </si>
  <si>
    <t>844928000700</t>
  </si>
  <si>
    <t>Protect-A-Bed Basic Waterproof Fitted Sheet White Full</t>
  </si>
  <si>
    <t>BAS0128</t>
  </si>
  <si>
    <t>RFMATTRESS</t>
  </si>
  <si>
    <t>PROTECT-A-BED/JAB DISTRIBUTORS LLC</t>
  </si>
  <si>
    <t>MAIN PANEL: POLYESTER; LINING: POLYURETHANE LAMINATE; SKIRT: POLYESTER, EXCLUSIVE OF ELASTIC</t>
  </si>
  <si>
    <t>675716805449</t>
  </si>
  <si>
    <t>Urban Habitat Lexi Colorblocked Throw Blue Throw</t>
  </si>
  <si>
    <t>BL50-0888</t>
  </si>
  <si>
    <t>ACRYLIC 220 GRAMS PER SQUARE METER</t>
  </si>
  <si>
    <t>86569902818</t>
  </si>
  <si>
    <t>SunSmart Mirage 50 x 84 Damask Total Grey 50x84</t>
  </si>
  <si>
    <t>SS40-0016</t>
  </si>
  <si>
    <t>BODY: POLYESTER;</t>
  </si>
  <si>
    <t>83013301906</t>
  </si>
  <si>
    <t>Croscill Croscill Carlotta Fashion Deco Multi No Size</t>
  </si>
  <si>
    <t>2A0-582C0-8090</t>
  </si>
  <si>
    <t>689439136568</t>
  </si>
  <si>
    <t>Hotel Collection Lateral 400-Thread Count 12 x Natural 12x24</t>
  </si>
  <si>
    <t>709271457871</t>
  </si>
  <si>
    <t>Calvin Klein Calvin Klein Modern Cotton Ray Blackcream King Sham</t>
  </si>
  <si>
    <t>1910164-KG-B1-D6</t>
  </si>
  <si>
    <t>KGRUFFLED</t>
  </si>
  <si>
    <t>726895863819</t>
  </si>
  <si>
    <t>Hotel Collection Linen Standard Sham White Standard Sham</t>
  </si>
  <si>
    <t>100028121SD</t>
  </si>
  <si>
    <t>732998714538</t>
  </si>
  <si>
    <t>Hotel Collection LAST ACT Hotel Collection Cla Silver King Sham</t>
  </si>
  <si>
    <t>100078568QK</t>
  </si>
  <si>
    <t>732998714521</t>
  </si>
  <si>
    <t>Hotel Collection LAST ACT Hotel Collection Cla Silver European Sham</t>
  </si>
  <si>
    <t>100078567QE</t>
  </si>
  <si>
    <t>26865854251</t>
  </si>
  <si>
    <t>Elrene All Seasons Blackout Waterfall Taupe 52x36</t>
  </si>
  <si>
    <t>ELRENE HOME FASHIONS</t>
  </si>
  <si>
    <t>190714278892</t>
  </si>
  <si>
    <t>Lacourte Aletta 50 x 60 Throw Drizzle Grey 50x60</t>
  </si>
  <si>
    <t>1121923DRIGR50X60</t>
  </si>
  <si>
    <t>ENVOGUE INTERNATIONAL LLC</t>
  </si>
  <si>
    <t>726895498684</t>
  </si>
  <si>
    <t>Hotel Collection Plume King Sham White King Sham</t>
  </si>
  <si>
    <t>1001530KG</t>
  </si>
  <si>
    <t>86569904621</t>
  </si>
  <si>
    <t>Madison Park Irina 50 x 144 Embroidered D White 50x144</t>
  </si>
  <si>
    <t>MP40-4934</t>
  </si>
  <si>
    <t>144X12X48</t>
  </si>
  <si>
    <t>675716488253</t>
  </si>
  <si>
    <t>Madison Park Emilia 50 x 84 Lined Faux-Si White 50x84</t>
  </si>
  <si>
    <t>WIN40-115</t>
  </si>
  <si>
    <t>734737580497</t>
  </si>
  <si>
    <t>Sunham Alessia Multicolor Silk 12x20 Multi</t>
  </si>
  <si>
    <t>20144510G</t>
  </si>
  <si>
    <t>SUNHAM CO USA</t>
  </si>
  <si>
    <t>100% SILK</t>
  </si>
  <si>
    <t>26865775129</t>
  </si>
  <si>
    <t>Elrene Elrene Cameron 30 x 36 Tier White 30x36</t>
  </si>
  <si>
    <t>38956WHT</t>
  </si>
  <si>
    <t>RAYON/LINEN</t>
  </si>
  <si>
    <t>675716714963</t>
  </si>
  <si>
    <t>Madison Park Emilia 50 x 84 Lined Faux-Si Spice 50x84</t>
  </si>
  <si>
    <t>MP40-2413</t>
  </si>
  <si>
    <t>733001452010</t>
  </si>
  <si>
    <t>Martha Stewart Collection LAST ACT Christmas Tree Truck Red 14x20</t>
  </si>
  <si>
    <t>MARTHA STEWART-MMG/MSLO-THROWS</t>
  </si>
  <si>
    <t>733001452058</t>
  </si>
  <si>
    <t>Martha Stewart Collection LAST ACT Merry Christmas Plai Grey 14x20</t>
  </si>
  <si>
    <t>732998868866</t>
  </si>
  <si>
    <t>Martha Stewart Collection Artisan Sunflower Patchwork St Multi Standard Sham</t>
  </si>
  <si>
    <t>100084993ST</t>
  </si>
  <si>
    <t>675716775537</t>
  </si>
  <si>
    <t>INKIVY Reeve 50 x 60 Ruched Throw Navy 50x60</t>
  </si>
  <si>
    <t>II50-721</t>
  </si>
  <si>
    <t>732997361368</t>
  </si>
  <si>
    <t>Martha Stewart Collection Merry Bright 18 x 18 Decorat Red 18x18</t>
  </si>
  <si>
    <t>706255403640</t>
  </si>
  <si>
    <t>Martha Stewart Collection Martha Stewart Collection Piqu Vanilla King</t>
  </si>
  <si>
    <t>SPQKBSV822</t>
  </si>
  <si>
    <t>MARTHA STEWART-EDI/PAC-FUNG FEATHER</t>
  </si>
  <si>
    <t>190714257590</t>
  </si>
  <si>
    <t>Lacourte Greek Key Cotton 20 x 20 Dec Gold 20x20</t>
  </si>
  <si>
    <t>1120575GOLD20X20</t>
  </si>
  <si>
    <t>783048998392</t>
  </si>
  <si>
    <t>Truly Soft Truly Soft Everyday White King Grey King</t>
  </si>
  <si>
    <t>DCS1657GYK-1800</t>
  </si>
  <si>
    <t>100% MICROFIBER POLYESTER.</t>
  </si>
  <si>
    <t>783048023896</t>
  </si>
  <si>
    <t>Truly Soft Truly Soft Everyday White King Silver Grey King</t>
  </si>
  <si>
    <t>DCS1657SGYKG-18</t>
  </si>
  <si>
    <t>732998714668</t>
  </si>
  <si>
    <t>Hotel Collection LAST ACT Hotel Collection Set White King Pillowcases</t>
  </si>
  <si>
    <t>100078486KG</t>
  </si>
  <si>
    <t>86569987426</t>
  </si>
  <si>
    <t>Madison Park Ceres 50 x 84 Twisted Tab To White 50x84</t>
  </si>
  <si>
    <t>MP40-5468</t>
  </si>
  <si>
    <t>751379615691</t>
  </si>
  <si>
    <t>Pillow Perfect Holiday Plaid Red 20-inch Thro Red No Size</t>
  </si>
  <si>
    <t>89786411385</t>
  </si>
  <si>
    <t>Creative Bath Animal Crackers Shower Curtain Natural</t>
  </si>
  <si>
    <t>S1022NAT</t>
  </si>
  <si>
    <t>848336038041</t>
  </si>
  <si>
    <t>Levtex Levtex Home Beach Life Shower Navy 72X72</t>
  </si>
  <si>
    <t>L47301SC</t>
  </si>
  <si>
    <t>LEVTEX BABY/LEVTEX LLC</t>
  </si>
  <si>
    <t>733001452027</t>
  </si>
  <si>
    <t>Martha Stewart Collection CLOSEOUT Letters to Santa 14 Red 14x20</t>
  </si>
  <si>
    <t>675716969318</t>
  </si>
  <si>
    <t>Madison Park Cecily Printed Grommet 50 x 8 Grey 50x84</t>
  </si>
  <si>
    <t>MP40-4609</t>
  </si>
  <si>
    <t>846339030123</t>
  </si>
  <si>
    <t>J Queen New York J Queen New York Marquis 20 S Cream</t>
  </si>
  <si>
    <t>151900220SQ</t>
  </si>
  <si>
    <t>POLYESTER; POLYESTER FILL</t>
  </si>
  <si>
    <t>733001452034</t>
  </si>
  <si>
    <t>Martha Stewart Collection Tartan Plaid 14 x 18 Scottie Green 18x14</t>
  </si>
  <si>
    <t>706254638166</t>
  </si>
  <si>
    <t>Martha Stewart Collection Tiger 14 x 20 Decorative Pil Blue 14x20</t>
  </si>
  <si>
    <t>14X20</t>
  </si>
  <si>
    <t>MARTHA STEWART-EDI/BALTIC LINENS</t>
  </si>
  <si>
    <t>732997384961</t>
  </si>
  <si>
    <t>Home Design Studio Printed Velvet 22 x 22 Decor Ivory 22x22</t>
  </si>
  <si>
    <t>22X22</t>
  </si>
  <si>
    <t>MMG-HOME DESIGN STUDIO/SARITA HANDA</t>
  </si>
  <si>
    <t>86569915351</t>
  </si>
  <si>
    <t>Madison Park Madison Park Spa Waffle 54 x Taupe No Size</t>
  </si>
  <si>
    <t>MP70-4977</t>
  </si>
  <si>
    <t>190GSM POLYESTER WITH 3M WATER REPELLENT SCOTCHAGRD TREATMENT</t>
  </si>
  <si>
    <t>190714127275</t>
  </si>
  <si>
    <t>Lacourte Sam 20 Square Decorative Pill Champagne 20x20</t>
  </si>
  <si>
    <t>1112738CHAMP20X20</t>
  </si>
  <si>
    <t>837362002713</t>
  </si>
  <si>
    <t>Grund Asheville Series 17 x 24 Org White 17 x 24</t>
  </si>
  <si>
    <t>B2662</t>
  </si>
  <si>
    <t>GRUND AMERICA LLC</t>
  </si>
  <si>
    <t>ORGANIC COTTON; BACKING: RUBBER</t>
  </si>
  <si>
    <t>733001452041</t>
  </si>
  <si>
    <t>Martha Stewart Collection LAST ACT Merry Bright 14 x White 14x20</t>
  </si>
  <si>
    <t>735732189876</t>
  </si>
  <si>
    <t>VCNY Home VCNY Home Casa Real Reversibl Multi FullQueen</t>
  </si>
  <si>
    <t>C10-5DV-FUQU-IN-MULT</t>
  </si>
  <si>
    <t>81806449446</t>
  </si>
  <si>
    <t>Hudson Hill Linden 50 x 84 Grommet Windo Grey 50x84</t>
  </si>
  <si>
    <t>FZR02KCB2GRY</t>
  </si>
  <si>
    <t>FABRIC: COTTON/LINEN</t>
  </si>
  <si>
    <t>675716802233</t>
  </si>
  <si>
    <t>Madison Park Elma Oversized Reversible 60 Tan 60x70</t>
  </si>
  <si>
    <t>MP50-3252</t>
  </si>
  <si>
    <t>FACE: POLYESTER</t>
  </si>
  <si>
    <t>844928000670</t>
  </si>
  <si>
    <t>Protect-A-Bed Basic Waterproof Fitted Sheet White Twin</t>
  </si>
  <si>
    <t>BAS0111</t>
  </si>
  <si>
    <t>RTMATTRESS</t>
  </si>
  <si>
    <t>810029193122</t>
  </si>
  <si>
    <t>HLC.me Lumino by HLC.me Perth Semi Sh Yellow 54x84</t>
  </si>
  <si>
    <t>SHRGRBTYLLW84</t>
  </si>
  <si>
    <t>SAKATTA INC</t>
  </si>
  <si>
    <t>735837576915</t>
  </si>
  <si>
    <t>Hotel Collection Corded StandardQueen Pillow White StandardQueen</t>
  </si>
  <si>
    <t>10034166QN</t>
  </si>
  <si>
    <t>PILLOWS &amp; PAD</t>
  </si>
  <si>
    <t>HOTEL BY C CLUB-EDI/PHOENIX DOWN</t>
  </si>
  <si>
    <t>21864386000</t>
  </si>
  <si>
    <t>Avanti Country Friends Shower Curtain Multi No Size</t>
  </si>
  <si>
    <t>13388H</t>
  </si>
  <si>
    <t>746885401715</t>
  </si>
  <si>
    <t>Miller Curtains Morris 50 x 84 Textured Wind Linen 50x84</t>
  </si>
  <si>
    <t>MC00X72923684</t>
  </si>
  <si>
    <t>NATCO/WINDHAM WEAVE/WINDHAM TRADING</t>
  </si>
  <si>
    <t>738980887273</t>
  </si>
  <si>
    <t>Popular Bath Imperial 17 x 24 Bath Rug Spa Blue No Size</t>
  </si>
  <si>
    <t>BRIGHTBLUE</t>
  </si>
  <si>
    <t>POPULAR BATH PRODUCTS</t>
  </si>
  <si>
    <t>733001281764</t>
  </si>
  <si>
    <t>Martha Stewart Collection Tartan Plaid Flannel Deer 18 Red 18x18</t>
  </si>
  <si>
    <t>86569987396</t>
  </si>
  <si>
    <t>Madison Park Ceres 50 x 63 Twisted Tab To White 50x63</t>
  </si>
  <si>
    <t>MP40-5467</t>
  </si>
  <si>
    <t>732998714545</t>
  </si>
  <si>
    <t>Hotel Collection LAST ACT Hotel Collection Cla Silver Standard Sham</t>
  </si>
  <si>
    <t>100078568QS</t>
  </si>
  <si>
    <t>86569017994</t>
  </si>
  <si>
    <t>Urban Habitat Brooklyn 50 x 18 Cotton Jacq Ivory 50x18</t>
  </si>
  <si>
    <t>UH40-2168</t>
  </si>
  <si>
    <t>732998868880</t>
  </si>
  <si>
    <t>Martha Stewart Collection Artisan Collection Ditsy Diamo Ivory European</t>
  </si>
  <si>
    <t>100090957ER</t>
  </si>
  <si>
    <t>732998868873</t>
  </si>
  <si>
    <t>Martha Stewart Collection Artisan Star 26 x 26 Europea Ivory European</t>
  </si>
  <si>
    <t>100090956ER</t>
  </si>
  <si>
    <t>783048023971</t>
  </si>
  <si>
    <t>Truly Soft Truly Soft Everyday White Full Sage FullQueen</t>
  </si>
  <si>
    <t>DCS1657SGFQ-18</t>
  </si>
  <si>
    <t>783048023889</t>
  </si>
  <si>
    <t>Truly Soft Truly Soft Everyday White Full Silver Grey FullQueen</t>
  </si>
  <si>
    <t>DCS1657SGYFQ-18</t>
  </si>
  <si>
    <t>783048024060</t>
  </si>
  <si>
    <t>Truly Soft Truly Soft Everyday White Full Blush FullQueen</t>
  </si>
  <si>
    <t>DCS1657BSFQ-18</t>
  </si>
  <si>
    <t>885308330550</t>
  </si>
  <si>
    <t>Beautyrest Rhapsody 18-inch Decorative Pi Yellow No Size</t>
  </si>
  <si>
    <t>14564018X018JWL</t>
  </si>
  <si>
    <t>86569930774</t>
  </si>
  <si>
    <t>JLA Home Rose Tissue Cover, Created for White</t>
  </si>
  <si>
    <t>MCH71-495</t>
  </si>
  <si>
    <t>190714335410</t>
  </si>
  <si>
    <t>Lacourte Mom 20 x 20 Decorative Pillo White 20x20</t>
  </si>
  <si>
    <t>1125426WHI20X20</t>
  </si>
  <si>
    <t>608381256810</t>
  </si>
  <si>
    <t>Charter Club Elite Stripe 19.3 x 34 Fashi Graphite</t>
  </si>
  <si>
    <t>CCSTP1X3</t>
  </si>
  <si>
    <t>PB-BTH-RUG/AC</t>
  </si>
  <si>
    <t>CHARTER CLUB-MMG/WELSPUN USA</t>
  </si>
  <si>
    <t>FRONT: POLYESTER; BACK: SKID RESISTANT LATEX</t>
  </si>
  <si>
    <t>675716783495</t>
  </si>
  <si>
    <t>INKIVY Bree Chunky-Knit 20 Square Pi Ivory 20x20</t>
  </si>
  <si>
    <t>II30-737</t>
  </si>
  <si>
    <t>FABRIC: ACRYLIC 410 GRAMS PER SQUARE METER; LINING: COTTON</t>
  </si>
  <si>
    <t>675716783501</t>
  </si>
  <si>
    <t>INKIVY Bree Chunky-Knit 20 Square Pi Charcoal 20x20</t>
  </si>
  <si>
    <t>II30-738</t>
  </si>
  <si>
    <t>628961001081</t>
  </si>
  <si>
    <t>Small World Home Drew 20 x 20 Decorative Pill Black And White 20x20</t>
  </si>
  <si>
    <t>DREW</t>
  </si>
  <si>
    <t>JETRICH CANADA LIMITED</t>
  </si>
  <si>
    <t>628961001098</t>
  </si>
  <si>
    <t>Small World Home Haven 20 x 20 Decorative Pil Black And White 20x20</t>
  </si>
  <si>
    <t>HAVEN</t>
  </si>
  <si>
    <t>628961001104</t>
  </si>
  <si>
    <t>Small World Home Breeze 16X24 Polyfilled Pillow Black And White</t>
  </si>
  <si>
    <t>LANE</t>
  </si>
  <si>
    <t>16X24</t>
  </si>
  <si>
    <t>646998689775</t>
  </si>
  <si>
    <t>Martha Stewart Collection Annabelle Pole Top 50 x 84 C Linen 50x84</t>
  </si>
  <si>
    <t>1-20050GLE</t>
  </si>
  <si>
    <t>40X84/7</t>
  </si>
  <si>
    <t>CHF INDUSTRIES INC</t>
  </si>
  <si>
    <t>746885368759</t>
  </si>
  <si>
    <t>Miller Curtains Miller Curtains Preston 48 x Dijon 48x216</t>
  </si>
  <si>
    <t>WC703444139216</t>
  </si>
  <si>
    <t>54006242391</t>
  </si>
  <si>
    <t>Achim Fairfield 55x84 WH White 55x84</t>
  </si>
  <si>
    <t>FF5P84WH12</t>
  </si>
  <si>
    <t>76389012545</t>
  </si>
  <si>
    <t>CHF Window Treatments, Kendall 52 Ivory 52x84</t>
  </si>
  <si>
    <t>1-80370GIV</t>
  </si>
  <si>
    <t>26 SGL</t>
  </si>
  <si>
    <t>POLYESTER; LINING: POLYESTER</t>
  </si>
  <si>
    <t>86569904645</t>
  </si>
  <si>
    <t>Madison Park Elena 38 x 46 Faux-Silk Rod White 38x46</t>
  </si>
  <si>
    <t>MP41-4949</t>
  </si>
  <si>
    <t>FAUX-SILK FABRIC: POLYESTER</t>
  </si>
  <si>
    <t>86569904720</t>
  </si>
  <si>
    <t>Madison Park Elena 38 x 46 Faux-Silk Rod Dusty Aqua 38x46</t>
  </si>
  <si>
    <t>MP41-4961</t>
  </si>
  <si>
    <t>190714238285</t>
  </si>
  <si>
    <t>Lacourte Lacourte Jacobia 20x20 Decor Blush 20x20</t>
  </si>
  <si>
    <t>1119629BLUSH20X20</t>
  </si>
  <si>
    <t>COTTON/FOIL</t>
  </si>
  <si>
    <t>96675641006</t>
  </si>
  <si>
    <t>SensorPEDIC Gel-Overlay Memory Foam Comfor White Standard</t>
  </si>
  <si>
    <t>SOFT-TEX MFG CO/SOFT-TEX INT'L INC</t>
  </si>
  <si>
    <t>RAYON/POLYESTER</t>
  </si>
  <si>
    <t>42694385186</t>
  </si>
  <si>
    <t>Mohawk Cherish 20 x 34 Bath Rug Gray 20x34</t>
  </si>
  <si>
    <t>Y3260-945-020034</t>
  </si>
  <si>
    <t>34X20</t>
  </si>
  <si>
    <t>AMERICAN RUG-MOHAWK INDUSTRIES</t>
  </si>
  <si>
    <t>FABRIC: POLYESTER; LATEX BACK</t>
  </si>
  <si>
    <t>80166735299</t>
  </si>
  <si>
    <t>Bacova Reliance Eastly Rectangle 28 Multi-colo</t>
  </si>
  <si>
    <t>BACOVA GUILD LTD/RONILE INC</t>
  </si>
  <si>
    <t>OLEFIN FACE WITH ATEX BACK</t>
  </si>
  <si>
    <t>732994721868</t>
  </si>
  <si>
    <t>Charter Club Damask Designs Embroidered 12 Grey</t>
  </si>
  <si>
    <t>86569916853</t>
  </si>
  <si>
    <t>Madison Park Aubrey 50 x 18 Beaded Jacqua Burgundy 50 x 18</t>
  </si>
  <si>
    <t>MP41-4991</t>
  </si>
  <si>
    <t>100% POLYESTER JACQUARD, LINING: 100% POLYESTER, TRIMS: GOLD BEADS</t>
  </si>
  <si>
    <t>86569039491</t>
  </si>
  <si>
    <t>Madison Park Duke 20 Square Faux-Fur Decor Blue 20x20</t>
  </si>
  <si>
    <t>MP30-5785</t>
  </si>
  <si>
    <t>COVER: 100% COTTON; FILLING: 100% POLYESTER</t>
  </si>
  <si>
    <t>675716665821</t>
  </si>
  <si>
    <t>Madison Park Ruched 20 Square Faux-Fur Dec Red 20x20</t>
  </si>
  <si>
    <t>MP30-1865</t>
  </si>
  <si>
    <t>FAUX-FUR FACE: POLYESTER 220 GRAMS PER SQUARE METER; FAUX-FUR REVERSE: POLYESTER 180 GRAMS PER SQUARE METER; POLYESTER FILL</t>
  </si>
  <si>
    <t>190714377441</t>
  </si>
  <si>
    <t>Lacourte Oh My Gourd 20 x 20 Decorati Blkwht 18x18</t>
  </si>
  <si>
    <t>1127905BLKWT20X20</t>
  </si>
  <si>
    <t>675716774172</t>
  </si>
  <si>
    <t>Madison Park Anaya 50 x 63 Floral Print C BlueBrown 50x63</t>
  </si>
  <si>
    <t>MP40-3010</t>
  </si>
  <si>
    <t>190945008053</t>
  </si>
  <si>
    <t>Levtex Levtex Home Mermaid Twin Sheet Pink Twin</t>
  </si>
  <si>
    <t>L11660TTSS</t>
  </si>
  <si>
    <t>706258051268</t>
  </si>
  <si>
    <t>Charter Club Damask Pima Cotton 550-Thread Medium Ivory Full</t>
  </si>
  <si>
    <t>DNSLDFLBIVY</t>
  </si>
  <si>
    <t>709271453064</t>
  </si>
  <si>
    <t>Calvin Klein Modern Steve Standard Sham Grey Standard Sham</t>
  </si>
  <si>
    <t>1910158-ST-G1-D6</t>
  </si>
  <si>
    <t>783048012920</t>
  </si>
  <si>
    <t>CHARISMA 310 SLD SPC AM BASIC</t>
  </si>
  <si>
    <t>PC1880AMSS-4700</t>
  </si>
  <si>
    <t>636202961216</t>
  </si>
  <si>
    <t>Hotel Collection Turkish 20 x 32 Tub Mat Marine</t>
  </si>
  <si>
    <t>HTLTURTMAR</t>
  </si>
  <si>
    <t>TUB MAT</t>
  </si>
  <si>
    <t>MMG-HOTEL BY CC</t>
  </si>
  <si>
    <t>TURKISH COTTON</t>
  </si>
  <si>
    <t>732995311693</t>
  </si>
  <si>
    <t>Charter Club Damask Designs Embroidered 18 Grey 18x18</t>
  </si>
  <si>
    <t>732996342337</t>
  </si>
  <si>
    <t>Martha Stewart Collection Velvet Euro Decorative Pillow Navy European</t>
  </si>
  <si>
    <t>MMG-MARTHA STEWART-EDI/SUNHAM HOME</t>
  </si>
  <si>
    <t>746885401500</t>
  </si>
  <si>
    <t>Miller Curtains Morrisot 50 x 84 Geometric W Oat 50x84</t>
  </si>
  <si>
    <t>MC00X72819184</t>
  </si>
  <si>
    <t>783048113467</t>
  </si>
  <si>
    <t>Pem America Darlene 3 pc twin comforter mi Yellow Twin</t>
  </si>
  <si>
    <t>CS3316TW-1540</t>
  </si>
  <si>
    <t>675716665357</t>
  </si>
  <si>
    <t>Madison Park 20 Square Ogee-Print Microlig Tan 20x20</t>
  </si>
  <si>
    <t>MP30-1849</t>
  </si>
  <si>
    <t>675716744106</t>
  </si>
  <si>
    <t>Intelligent Design Chevron Plush Throw GreyWhite Throw</t>
  </si>
  <si>
    <t>ID50-848</t>
  </si>
  <si>
    <t>POLYESTER FLEECE</t>
  </si>
  <si>
    <t>675716602161</t>
  </si>
  <si>
    <t>Madison Park Madison Park Aubrey Paisley 50 Champagne 50x18</t>
  </si>
  <si>
    <t>MP41-1456</t>
  </si>
  <si>
    <t>41808762684</t>
  </si>
  <si>
    <t>PEKING HANDICRAFT INC Modern Heirloom Loretta Standa Multi</t>
  </si>
  <si>
    <t>80PHC019B14C1501</t>
  </si>
  <si>
    <t>PEKING HANDICRAFT INC</t>
  </si>
  <si>
    <t>706257797075</t>
  </si>
  <si>
    <t>Charter Club Damask Stripe 500 Thread Cou Orchid</t>
  </si>
  <si>
    <t>DLSTKGHORC</t>
  </si>
  <si>
    <t>29927425529</t>
  </si>
  <si>
    <t>No. 918 No. 918 Montego 48 x 95 Cu White 48x95</t>
  </si>
  <si>
    <t>S LICHTENBERG &amp; CO.</t>
  </si>
  <si>
    <t>734737614611</t>
  </si>
  <si>
    <t>Sunham Pleat Velvet 14 x 22 Decorat Whtneutrl</t>
  </si>
  <si>
    <t>21332507C</t>
  </si>
  <si>
    <t>POLYESTER; FEATHER FILL</t>
  </si>
  <si>
    <t>732998868811</t>
  </si>
  <si>
    <t>Martha Stewart Collection Artisan Sunburst Patchwork Sta Orange Standard Sham</t>
  </si>
  <si>
    <t>100084992ST</t>
  </si>
  <si>
    <t>840037202875</t>
  </si>
  <si>
    <t>Mistletoe Farms 6 Piece Spa Set Cinnamon Vanilla ONE SIZE</t>
  </si>
  <si>
    <t>6SPA3300RD-060</t>
  </si>
  <si>
    <t>NO COLOR</t>
  </si>
  <si>
    <t>INDECOR HOME LLC</t>
  </si>
  <si>
    <t>675716749361</t>
  </si>
  <si>
    <t>Madison Park Madison Park Aubrey Paisley 50 Burgundy 50x18</t>
  </si>
  <si>
    <t>MP41-2714</t>
  </si>
  <si>
    <t>732996618715</t>
  </si>
  <si>
    <t>Martha Stewart Collection Wedding Rings Blue Standard Sh Medium Blue Standard Sham</t>
  </si>
  <si>
    <t>100070851ST</t>
  </si>
  <si>
    <t>21864350100</t>
  </si>
  <si>
    <t>Avanti Galaxy Chevron 27 x 50 Bath Black</t>
  </si>
  <si>
    <t>038491BLK</t>
  </si>
  <si>
    <t>BATH TOWEL</t>
  </si>
  <si>
    <t>706258051329</t>
  </si>
  <si>
    <t>Charter Club Damask Supima Cotton 550-Threa Stone Dark Grey Twin</t>
  </si>
  <si>
    <t>DNSLDTWBSTN</t>
  </si>
  <si>
    <t>706258051343</t>
  </si>
  <si>
    <t>Charter Club Damask Supima Cotton 550-Threa Medium Ivory Twin</t>
  </si>
  <si>
    <t>DNSLDTWBIVY</t>
  </si>
  <si>
    <t>29927435207</t>
  </si>
  <si>
    <t>Sun Zero Lichtenberg Sun Zero Ena Flora Stone 54x84</t>
  </si>
  <si>
    <t>ENA</t>
  </si>
  <si>
    <t>675716783532</t>
  </si>
  <si>
    <t>INKIVY Bree Chunky-Knit 12 x 20 Obl Charcoal 12x20</t>
  </si>
  <si>
    <t>II30-741</t>
  </si>
  <si>
    <t>675716783525</t>
  </si>
  <si>
    <t>INKIVY Bree Chunky-Knit 12 x 20 Obl Ivory 12x20</t>
  </si>
  <si>
    <t>II30-740</t>
  </si>
  <si>
    <t>651896642791</t>
  </si>
  <si>
    <t>Morgan Home Buffalo Stag Gray 3 PC Decorat Kendrick Plaid</t>
  </si>
  <si>
    <t>M642791</t>
  </si>
  <si>
    <t>MORGAN HOME FASHIONS</t>
  </si>
  <si>
    <t>10482319194</t>
  </si>
  <si>
    <t>Lux Hotel Baratta Embroidered Euro 2-Pac Silver European Sham</t>
  </si>
  <si>
    <t>FRE27502SILV11</t>
  </si>
  <si>
    <t>LEVINSOHN TEXTILE CO INC</t>
  </si>
  <si>
    <t>21864221318</t>
  </si>
  <si>
    <t>Avanti Avanti Precision Cotton Bath T Mocha</t>
  </si>
  <si>
    <t>010811MOC</t>
  </si>
  <si>
    <t>BUCK</t>
  </si>
  <si>
    <t>100% COTTON VELOUR</t>
  </si>
  <si>
    <t>732994411875</t>
  </si>
  <si>
    <t>Hotel Collection Seaglass Cotton 340-Thread Cou Green King Sham</t>
  </si>
  <si>
    <t>100024738KG</t>
  </si>
  <si>
    <t>HOTEL BY C CLUB-EDI/RWI/VTX</t>
  </si>
  <si>
    <t>29927557657</t>
  </si>
  <si>
    <t>Sun Zero Lichtenberg Sun Zero Grant Sol Stone 54x84</t>
  </si>
  <si>
    <t>29927435047</t>
  </si>
  <si>
    <t>Sun Zero Sun Zero Grant 54 x 63 Gromm Black 54x63</t>
  </si>
  <si>
    <t>GRANT</t>
  </si>
  <si>
    <t>675716932893</t>
  </si>
  <si>
    <t>Madison Park Amherst Colorblock 50 x 18 W Yellow 50x18</t>
  </si>
  <si>
    <t>MP41-4375</t>
  </si>
  <si>
    <t>675716700164</t>
  </si>
  <si>
    <t>Madison Park Amherst Colorblock 50 x 18 W Black 50x18</t>
  </si>
  <si>
    <t>MP41-2226</t>
  </si>
  <si>
    <t>29927373554</t>
  </si>
  <si>
    <t>No. 918 Montego 48 x 84 Grommet Top White 48x84</t>
  </si>
  <si>
    <t>84X7X48/4</t>
  </si>
  <si>
    <t>732995468878</t>
  </si>
  <si>
    <t>Martha Stewart Collection Textured Floral Stripe Standar White Standard Sham</t>
  </si>
  <si>
    <t>100037974ST</t>
  </si>
  <si>
    <t>849657025321</t>
  </si>
  <si>
    <t>Rod Desyne Frame 716 Curtain Rod 28-48 Black 28-48in</t>
  </si>
  <si>
    <t>CF07-28-2</t>
  </si>
  <si>
    <t>ROD DESYNE</t>
  </si>
  <si>
    <t>726895573565</t>
  </si>
  <si>
    <t>Martha Stewart Collection Spa Essentials Cotton 2-Pc. Ba White Lily 2 piece set</t>
  </si>
  <si>
    <t>ESSENTIAL MARTHA/EDI/FAZE THREE</t>
  </si>
  <si>
    <t>25695974078</t>
  </si>
  <si>
    <t>Lauren Ralph Lauren Bronze Comfort Hollywood Cream White</t>
  </si>
  <si>
    <t>97407-5679</t>
  </si>
  <si>
    <t>LAUREN RALPH LAUREN/HOLLANDER SLEEP</t>
  </si>
  <si>
    <t>732998350903</t>
  </si>
  <si>
    <t>Martha Stewart Collection Inca Stripe Bath Towel Multi Combo No Size</t>
  </si>
  <si>
    <t>BEACHTOWEL</t>
  </si>
  <si>
    <t>MARTHA STEWART-MMG</t>
  </si>
  <si>
    <t>FABRIC: 100% COTTON</t>
  </si>
  <si>
    <t>848336074797</t>
  </si>
  <si>
    <t>Levtex Levtex Baby Night Owl Pad Cove Gray</t>
  </si>
  <si>
    <t>LB100CPC</t>
  </si>
  <si>
    <t>706257797280</t>
  </si>
  <si>
    <t>DLSTSTHORC</t>
  </si>
  <si>
    <t>29927371604</t>
  </si>
  <si>
    <t>No. 918 Montego 48 x 84 Grommet Top Navy 48x84</t>
  </si>
  <si>
    <t>732995740592</t>
  </si>
  <si>
    <t>Martha Stewart Collection Stenciled Leaves Standard Sham Mint Standard Sham</t>
  </si>
  <si>
    <t>100037828ST</t>
  </si>
  <si>
    <t>732996988962</t>
  </si>
  <si>
    <t>Martha Stewart Collection Stenciled Leaves Standard Sham Wine Standard Sham</t>
  </si>
  <si>
    <t>886087186062</t>
  </si>
  <si>
    <t>Lauren Ralph Lauren Lauren Ralph Lauren Wescott 56 Pergola Pink</t>
  </si>
  <si>
    <t>54006630082</t>
  </si>
  <si>
    <t>Achim Ombre 46x42 SS Burgundy ONE SIZE</t>
  </si>
  <si>
    <t>OMWFVLBU06</t>
  </si>
  <si>
    <t>54006621974</t>
  </si>
  <si>
    <t>Achim Ombre 46x42 SS Autumn ONE SIZE</t>
  </si>
  <si>
    <t>OMWFVLAT06</t>
  </si>
  <si>
    <t>MED ORANGE</t>
  </si>
  <si>
    <t>679610786194</t>
  </si>
  <si>
    <t>Hallmart Collectibles Pom Pom 50 x 60 Plush Throw Gray 50x60</t>
  </si>
  <si>
    <t>HALLMART COLLECTIBLES INC</t>
  </si>
  <si>
    <t>21864387687</t>
  </si>
  <si>
    <t>Avanti Gnome Walk Bath Towel White Bath Towels</t>
  </si>
  <si>
    <t>033901WHT</t>
  </si>
  <si>
    <t>COTTON EXCLUSIVE OF EMBELLISHMENT</t>
  </si>
  <si>
    <t>29927440317</t>
  </si>
  <si>
    <t>Sun Zero Sun Zero Preston 40 x 84 Gro Stone 40x84</t>
  </si>
  <si>
    <t>29927435672</t>
  </si>
  <si>
    <t>Sun Zero Sun Zero Grant Pole Top 54 x Stone 54x84</t>
  </si>
  <si>
    <t>885308080639</t>
  </si>
  <si>
    <t>Eclipse Eclipse Thermaliner Panel Pair White ONE SIZE</t>
  </si>
  <si>
    <t>10332054X060WH</t>
  </si>
  <si>
    <t>63 SGL</t>
  </si>
  <si>
    <t>732996958255</t>
  </si>
  <si>
    <t>Charter Club Cozy Plush Throw Tan Chevron 50x70</t>
  </si>
  <si>
    <t>CHARTER CLUB-EDI/JLA HOME</t>
  </si>
  <si>
    <t>849657025277</t>
  </si>
  <si>
    <t>Rod Desyne Teapot 716 Curtain Rod 18-2 Satin Nickel 18-28in</t>
  </si>
  <si>
    <t>CF06-18-5</t>
  </si>
  <si>
    <t>849657025291</t>
  </si>
  <si>
    <t>Rod Desyne Teapot 716 Curtain Rod 18-2 Cocoa 18-28in</t>
  </si>
  <si>
    <t>CF06-18-7</t>
  </si>
  <si>
    <t>86569111166</t>
  </si>
  <si>
    <t>JLA Home Sanibel 72 x 72 Faux-Linen S Blue 72X72</t>
  </si>
  <si>
    <t>MCH70-981</t>
  </si>
  <si>
    <t>POLYESTER 135GSM</t>
  </si>
  <si>
    <t>735732488207</t>
  </si>
  <si>
    <t>VCNY Home Floral Bunnies 14 x 24 Decor Gray 14x24</t>
  </si>
  <si>
    <t>FB2-PLW-1424-MA-GRAY</t>
  </si>
  <si>
    <t>735732488184</t>
  </si>
  <si>
    <t>VCNY Home Gingham Bunny 20 x 20 Decora Pink 20 x 20</t>
  </si>
  <si>
    <t>BU3-PLW-2020-MA-PINK</t>
  </si>
  <si>
    <t>706256755786</t>
  </si>
  <si>
    <t>Hotel Collection Premier Tubmat Linen</t>
  </si>
  <si>
    <t>HMLTLIN</t>
  </si>
  <si>
    <t>732994459242</t>
  </si>
  <si>
    <t>Martha Stewart Collection Flourish Velvet Quilted Standa Pink Rose Standard Sham</t>
  </si>
  <si>
    <t>VFLSHPKST</t>
  </si>
  <si>
    <t>POLYESTER/SPANDEX/COTTON; FILL: COTTON</t>
  </si>
  <si>
    <t>29927563023</t>
  </si>
  <si>
    <t>No. 918 No. 918 Sheer Voile 59 x 84 Silver 59x84</t>
  </si>
  <si>
    <t>29927440539</t>
  </si>
  <si>
    <t>No. 918 Clifford Tab Top 40 x 84 Pan Ecru 40x84</t>
  </si>
  <si>
    <t>732995472219</t>
  </si>
  <si>
    <t>Martha Stewart Collection Washed Rice Stitch Standard Sh Sage Standard Sham</t>
  </si>
  <si>
    <t>100052117ST</t>
  </si>
  <si>
    <t>COTTON / POLYESTER</t>
  </si>
  <si>
    <t>79465033427</t>
  </si>
  <si>
    <t>Martex Cotton Double Ringspun 20 x 3 Silver 20x30</t>
  </si>
  <si>
    <t>LG04TR70510</t>
  </si>
  <si>
    <t>27"X27"</t>
  </si>
  <si>
    <t>CHARISMA/WESTPOINT HOME INC</t>
  </si>
  <si>
    <t>636206719455</t>
  </si>
  <si>
    <t>Charter Club Palazzo 20 x 36 Scatter Rug TanCream Combo 20 x 36</t>
  </si>
  <si>
    <t>36X3X20</t>
  </si>
  <si>
    <t>CHARTER CLUB-MMG</t>
  </si>
  <si>
    <t>636206719769</t>
  </si>
  <si>
    <t>Charter Club Buffalo Plaid 20 x 36 Scatte BlackGrey 20 x 36</t>
  </si>
  <si>
    <t>732998747383</t>
  </si>
  <si>
    <t>Lucky Brand Taos Cotton Matelasse 26 x 26 Blue European Sham</t>
  </si>
  <si>
    <t>100039281ER</t>
  </si>
  <si>
    <t>706258633426</t>
  </si>
  <si>
    <t>Charter Club Damask Designs Diamond Dot Cot Grey European Sham</t>
  </si>
  <si>
    <t>D4EUSDDOTG</t>
  </si>
  <si>
    <t>732995473919</t>
  </si>
  <si>
    <t>Charter Club Damask Designs Engraved Flower Grey European Sham</t>
  </si>
  <si>
    <t>100037377ER</t>
  </si>
  <si>
    <t>706257208939</t>
  </si>
  <si>
    <t>Charter Club Damask Designs European Sham Butter European Sham</t>
  </si>
  <si>
    <t>DEUSGRDBT</t>
  </si>
  <si>
    <t>LT/PAS YEL</t>
  </si>
  <si>
    <t>746885383073</t>
  </si>
  <si>
    <t>Miller Curtains Solunar Crushed Voile 54 x 95 White 54x95</t>
  </si>
  <si>
    <t>MC00X49250195</t>
  </si>
  <si>
    <t>86569092861</t>
  </si>
  <si>
    <t>Urban Dreams Stellar Space Shaped Dec Pillo Blue ONE SIZE</t>
  </si>
  <si>
    <t>MCH30-792</t>
  </si>
  <si>
    <t>COVER; COTTON: FILL; POLYESTER</t>
  </si>
  <si>
    <t>21864264339</t>
  </si>
  <si>
    <t>Avanti Avanti Kokopelli Lotion Dispen Gold</t>
  </si>
  <si>
    <t>RESIN</t>
  </si>
  <si>
    <t>32281247232</t>
  </si>
  <si>
    <t>Disney Chewbacca 2-Pc. Nogginz Pillow Multi Color</t>
  </si>
  <si>
    <t>JF24723MCD</t>
  </si>
  <si>
    <t>DISNEY/JAY FRANCO &amp; SONS</t>
  </si>
  <si>
    <t>732997421765</t>
  </si>
  <si>
    <t>Martha Stewart Collection Flourish Velvet Quilted Standa Dusty Blue Standard Sham</t>
  </si>
  <si>
    <t>VFLSHBLST</t>
  </si>
  <si>
    <t>732998869443</t>
  </si>
  <si>
    <t>Martha Stewart Collection Honey Bee Embroidery Reversibl Beige Standard Sham</t>
  </si>
  <si>
    <t>100079767ST</t>
  </si>
  <si>
    <t>BGEOVERFLW</t>
  </si>
  <si>
    <t>76389296457</t>
  </si>
  <si>
    <t>CHF Battenburg 30 x 24 Cafe Cur Ecru 30x24</t>
  </si>
  <si>
    <t>1-428601EC</t>
  </si>
  <si>
    <t>TRCTN82X54</t>
  </si>
  <si>
    <t>814945024423</t>
  </si>
  <si>
    <t>De Moocci Wrap Around Bed Skirt, Elastic Cream Twin</t>
  </si>
  <si>
    <t>1606BS-CRM-TF</t>
  </si>
  <si>
    <t>DE MOOCCI/ORIENT HOME COLLECTION</t>
  </si>
  <si>
    <t>47293354618</t>
  </si>
  <si>
    <t>Sure Fit Scroll Slipcover, Dining Room Champagne Chair Slipcover</t>
  </si>
  <si>
    <t>173925236C</t>
  </si>
  <si>
    <t>840037202912</t>
  </si>
  <si>
    <t>Mistletoe Farms 3 Piece Counter Set Red ONE SIZE</t>
  </si>
  <si>
    <t>3PCS3934RD-060</t>
  </si>
  <si>
    <t>80166582824</t>
  </si>
  <si>
    <t>Bacova Gather 18 x 30 Doormat Multi 18x30</t>
  </si>
  <si>
    <t>58282MS</t>
  </si>
  <si>
    <t>30X18</t>
  </si>
  <si>
    <t>FABRIC: COIR; VINYL BACK</t>
  </si>
  <si>
    <t>746885368971</t>
  </si>
  <si>
    <t>Miller Curtains Window Treatments, Preston Rod Stone Grey 51x108</t>
  </si>
  <si>
    <t>WC703444140108</t>
  </si>
  <si>
    <t>651896642838</t>
  </si>
  <si>
    <t>Morgan Home LAST ACT Holiday Print Plush Deck The Halls No Size</t>
  </si>
  <si>
    <t>M642838</t>
  </si>
  <si>
    <t>885308748812</t>
  </si>
  <si>
    <t>Keeco Vue Window Solutions Kingsbury Natural 52x36</t>
  </si>
  <si>
    <t>18500052036NAT</t>
  </si>
  <si>
    <t>76389296556</t>
  </si>
  <si>
    <t>CHF Battenburg 60 x 14 Valance Ecru 60x14</t>
  </si>
  <si>
    <t>1-428600EC</t>
  </si>
  <si>
    <t>11 PLT SGL</t>
  </si>
  <si>
    <t>738980753165</t>
  </si>
  <si>
    <t>Popular Bath Popular Bath Mosaic Shower Hoo Bronze ONE SIZE</t>
  </si>
  <si>
    <t>METAL</t>
  </si>
  <si>
    <t>80166582756</t>
  </si>
  <si>
    <t>Bacova Farmhouse HelloGoodbye 18 x Multi</t>
  </si>
  <si>
    <t>NATURAL COIR WITH VINYL BACKING</t>
  </si>
  <si>
    <t>10482002959</t>
  </si>
  <si>
    <t>Fresh Ideas Fitted Vinyl Mattress Protecto White Queen</t>
  </si>
  <si>
    <t>FRE111XXWHIT03</t>
  </si>
  <si>
    <t>VINYL</t>
  </si>
  <si>
    <t>86569930750</t>
  </si>
  <si>
    <t>JLA Home Rose Tray, Created for Macys Tray</t>
  </si>
  <si>
    <t>MCH71-493</t>
  </si>
  <si>
    <t>10482002942</t>
  </si>
  <si>
    <t>Fresh Ideas Fitted Vinyl Mattress Protecto White Full</t>
  </si>
  <si>
    <t>FRE111XXWHIT02</t>
  </si>
  <si>
    <t>732997957448</t>
  </si>
  <si>
    <t>Charter Club Damask Designs Mrs Cotton 20 Mrs Standard Sham</t>
  </si>
  <si>
    <t>100067972SD</t>
  </si>
  <si>
    <t>25695993376</t>
  </si>
  <si>
    <t>Lauren Ralph Lauren Eco-Smart Down Alternative P White</t>
  </si>
  <si>
    <t>99337-5679</t>
  </si>
  <si>
    <t>100% COTTON; POLYESTER DOWN ALTERNATIVE FILL</t>
  </si>
  <si>
    <t>732994582933</t>
  </si>
  <si>
    <t>Martha Stewart Collection Martha Stewart Collection Piqu Vanilla European Sham</t>
  </si>
  <si>
    <t>SPQESHV822</t>
  </si>
  <si>
    <t>10482003420</t>
  </si>
  <si>
    <t>Fresh Ideas Poplin Tailored Pillow Standar Ivory Standard Sham</t>
  </si>
  <si>
    <t>FRE201XXIVOR07</t>
  </si>
  <si>
    <t>732999790234</t>
  </si>
  <si>
    <t>Martha Stewart Collection Holiday Santa 2-Pc. 11 x 18 White Combo Fingertip Towels</t>
  </si>
  <si>
    <t>746885344548</t>
  </si>
  <si>
    <t>Miller Curtains Window Treatments, Preston Rod Light Blue 51x95</t>
  </si>
  <si>
    <t>WC70344400595</t>
  </si>
  <si>
    <t>36326550585</t>
  </si>
  <si>
    <t>Saturday Knight Saturday Knight Dream 58 x 63 Blue 63</t>
  </si>
  <si>
    <t>SATURDAY KNIGHT LTD</t>
  </si>
  <si>
    <t>21864387694</t>
  </si>
  <si>
    <t>Avanti Gnome Walk Hand Towel White Hand Towels</t>
  </si>
  <si>
    <t>033902WHT</t>
  </si>
  <si>
    <t>HAND TOWEL</t>
  </si>
  <si>
    <t>735732294464</t>
  </si>
  <si>
    <t>VCNY Home Pandora Printed 72 x 72 Shower Multi ONE SIZE</t>
  </si>
  <si>
    <t>PAO-SHC-7272-I2-MULT</t>
  </si>
  <si>
    <t>POLYESTER MICROFIBER</t>
  </si>
  <si>
    <t>25695988501</t>
  </si>
  <si>
    <t>Lauren Ralph Lauren Logo 300-Thread Count Standard White</t>
  </si>
  <si>
    <t>98850-5679</t>
  </si>
  <si>
    <t>746885383080</t>
  </si>
  <si>
    <t>Miller Curtains Solunar Crushed Voile 54 x 63 Ivory 54x63</t>
  </si>
  <si>
    <t>MC00X49207463</t>
  </si>
  <si>
    <t>21864376858</t>
  </si>
  <si>
    <t>Avanti Avanti Happy Pawlidays 3-Pc. L Ivory</t>
  </si>
  <si>
    <t>03323LPFTIVR</t>
  </si>
  <si>
    <t>LOTION PUMP: CERAMIC; TOWELS: 100% COTTON EXCLUSIVE OF EMBELLISHMENT</t>
  </si>
  <si>
    <t>841841102603</t>
  </si>
  <si>
    <t>ORANGE BAR SOAP</t>
  </si>
  <si>
    <t>1207BD</t>
  </si>
  <si>
    <t>BARR CO/K HALL STUDIO INC</t>
  </si>
  <si>
    <t>OLIVE OIL &amp; SHEA BUTTER</t>
  </si>
  <si>
    <t>21864398218</t>
  </si>
  <si>
    <t>Avanti Holiday Truck 3-Pc. Bath Box S Linen</t>
  </si>
  <si>
    <t>03482LPFT-LIN</t>
  </si>
  <si>
    <t>608356220396</t>
  </si>
  <si>
    <t>Charter Club Damask Stripe Supima Cotton 55 Winter Pine Green Standard Pillowcases</t>
  </si>
  <si>
    <t>DLDSTSPCGRN</t>
  </si>
  <si>
    <t>DARK GREEN</t>
  </si>
  <si>
    <t>706258050025</t>
  </si>
  <si>
    <t>Charter Club Damask Supima Cotton 550-Threa Medium Ivory Standard</t>
  </si>
  <si>
    <t>DLLSLSPCIVR</t>
  </si>
  <si>
    <t>746885344494</t>
  </si>
  <si>
    <t>Miller Curtains Window Treatments, Preston Rod Beige 51x84</t>
  </si>
  <si>
    <t>WC70344400284</t>
  </si>
  <si>
    <t>746885344517</t>
  </si>
  <si>
    <t>Miller Curtains Window Treatments, Preston Rod White 51x84</t>
  </si>
  <si>
    <t>WC70344400184</t>
  </si>
  <si>
    <t>746885368957</t>
  </si>
  <si>
    <t>Miller Curtains Window Treatments, Preston Rod Stone Grey 51x84</t>
  </si>
  <si>
    <t>WC70344414084</t>
  </si>
  <si>
    <t>746885344463</t>
  </si>
  <si>
    <t>Miller Curtains Window Treatments, Preston Rod Light Blue 51x84</t>
  </si>
  <si>
    <t>WC70344400584</t>
  </si>
  <si>
    <t>800298585346</t>
  </si>
  <si>
    <t>DKNY Mercer Cotton Wash Towel Denim Washcloths</t>
  </si>
  <si>
    <t>MCD124544TAN</t>
  </si>
  <si>
    <t>FINGER TIP</t>
  </si>
  <si>
    <t>NICK MUNRO/CHF INDUSTRIES INC</t>
  </si>
  <si>
    <t>32281247102</t>
  </si>
  <si>
    <t>Jay Franco XO Minnie 2pk Squishy Pillow Multi Color</t>
  </si>
  <si>
    <t>JF24710MCD</t>
  </si>
  <si>
    <t>PRINTED VELBOA WITH SQUISHY FILL</t>
  </si>
  <si>
    <t>32281247140</t>
  </si>
  <si>
    <t>Jay Franco Star Wars 2-Pack Squishy Pillo Multi Color</t>
  </si>
  <si>
    <t>JF24714MCD</t>
  </si>
  <si>
    <t>32281247157</t>
  </si>
  <si>
    <t>Jay Franco Dreamin Mickey 2-Pack Squishy Multi Color</t>
  </si>
  <si>
    <t>JF24715MCD</t>
  </si>
  <si>
    <t>32281247119</t>
  </si>
  <si>
    <t>Jay Franco Frozen 2-Pack Squishy Pillow P Multi Color</t>
  </si>
  <si>
    <t>JF24711MCD</t>
  </si>
  <si>
    <t>81806449231</t>
  </si>
  <si>
    <t>Hudson Hill Jovie 50 x 84 Rod Pocket Win Linen 50x84</t>
  </si>
  <si>
    <t>FZR02KNB2LIN</t>
  </si>
  <si>
    <t>FABRIC: POLYESTER/LINEN</t>
  </si>
  <si>
    <t>746885344418</t>
  </si>
  <si>
    <t>Miller Curtains Window Treatments, Preston Rod Beige 51x63</t>
  </si>
  <si>
    <t>WC70344400263</t>
  </si>
  <si>
    <t>746885368902</t>
  </si>
  <si>
    <t>Miller Curtains Window Treatments, Preston Rod Dijon 51x63</t>
  </si>
  <si>
    <t>WC70344413963</t>
  </si>
  <si>
    <t>746885344388</t>
  </si>
  <si>
    <t>Miller Curtains Window Treatments, Preston Rod Light Blue 51x63</t>
  </si>
  <si>
    <t>WC70344400563</t>
  </si>
  <si>
    <t>734737613454</t>
  </si>
  <si>
    <t>Lacoste Compass Cotton 16 x 30 Hand Sand Hand Towels</t>
  </si>
  <si>
    <t>T20790N151630</t>
  </si>
  <si>
    <t>21864200238</t>
  </si>
  <si>
    <t>Avanti Rosefan Fingertip Towel, 11x Ivory</t>
  </si>
  <si>
    <t>005414IVR</t>
  </si>
  <si>
    <t>21864276981</t>
  </si>
  <si>
    <t>Avanti Bradford 13 Square Washcloth Linen</t>
  </si>
  <si>
    <t>017893LIN</t>
  </si>
  <si>
    <t>WASH CLOTH</t>
  </si>
  <si>
    <t>COTTON; EXCLUSIVE OF DECORATION</t>
  </si>
  <si>
    <t>21864381548</t>
  </si>
  <si>
    <t>Avanti Avanti Manor Hill Fingertip To Ivory ONE SIZE</t>
  </si>
  <si>
    <t>039224IVR</t>
  </si>
  <si>
    <t>100% COTTON VELOUR EXCLUSIVE OF EMBELLISHMENT</t>
  </si>
  <si>
    <t>86569287540</t>
  </si>
  <si>
    <t>Urban Dreams HOODED THROWS Green Standard</t>
  </si>
  <si>
    <t>MCH50-1613</t>
  </si>
  <si>
    <t>734737642980</t>
  </si>
  <si>
    <t>Lacoste Lacoste Sculpted Squares 16 x White Hand Towels</t>
  </si>
  <si>
    <t>T21627N011630</t>
  </si>
  <si>
    <t>732996957630</t>
  </si>
  <si>
    <t>Hotel Collection Block Geo Cotton 16 x 30 Han Lake Combo Hand Towels</t>
  </si>
  <si>
    <t>79465807134</t>
  </si>
  <si>
    <t>Martex Martex Egyptian Cotton Dryfast Cream ONE SIZE</t>
  </si>
  <si>
    <t>GI81T160695</t>
  </si>
  <si>
    <t>100% EGYPTIAN COTTON</t>
  </si>
  <si>
    <t>732995009248</t>
  </si>
  <si>
    <t>Charter Club Cotton 16 x 30 Hand Towel Sun Straw Hand Towels</t>
  </si>
  <si>
    <t>726895082111</t>
  </si>
  <si>
    <t>Hotel Collection Supima Cotton Quick-Dry Hand Sable</t>
  </si>
  <si>
    <t>DARK BROWN</t>
  </si>
  <si>
    <t>52501878282</t>
  </si>
  <si>
    <t>Cobra Reflections 16 x 28 Hand Tow Sky Multi</t>
  </si>
  <si>
    <t>LINTEX LINENS/COBRA TRADING CORP</t>
  </si>
  <si>
    <t>FABRIC: COTTON/POLYESTER</t>
  </si>
  <si>
    <t>79465807141</t>
  </si>
  <si>
    <t>Martex Martex Egyptian Cotton 13 x 1 Cream ONE SIZE</t>
  </si>
  <si>
    <t>GI81T260692</t>
  </si>
  <si>
    <t>726895082197</t>
  </si>
  <si>
    <t>Hotel Collection Supima Cotton Quick-Dry Wash Sable</t>
  </si>
  <si>
    <t>732996957753</t>
  </si>
  <si>
    <t>Hotel Collection Block Geo Cotton 13 x 13 Was Lake Combo Washcloths</t>
  </si>
  <si>
    <t>732996957746</t>
  </si>
  <si>
    <t>Hotel Collection Block Geo Cotton 13 x 13 Was Oat Combo Washcloths</t>
  </si>
  <si>
    <t>732994993982</t>
  </si>
  <si>
    <t>Charter Club Plaid Cotton 13 x 13 Wash To Cornflower Blue Washcloths</t>
  </si>
  <si>
    <t>732994993968</t>
  </si>
  <si>
    <t>Charter Club Plaid Cotton 13 x 13 Wash To Smoke Washcloths</t>
  </si>
  <si>
    <t>706254465045</t>
  </si>
  <si>
    <t>Hotel Collection Ultimate MicroCotton 13 x 13 Peacock Washcloths</t>
  </si>
  <si>
    <t>HTLMCWPCK</t>
  </si>
  <si>
    <t>848405029192</t>
  </si>
  <si>
    <t>Mainstream International Inc. Smartspun Cotton Hand Towel Grey</t>
  </si>
  <si>
    <t>MACPROHANDSOLID</t>
  </si>
  <si>
    <t>DARK GRAY</t>
  </si>
  <si>
    <t>MAINSTREAM INTERNATIONAL INC</t>
  </si>
  <si>
    <t>766195440730</t>
  </si>
  <si>
    <t>Tommy Hilfiger All American II Cotton Washclo Raspberry Washcloths</t>
  </si>
  <si>
    <t>079387TH024</t>
  </si>
  <si>
    <t>MEDIUN RED</t>
  </si>
  <si>
    <t>766195440556</t>
  </si>
  <si>
    <t>Tommy Hilfiger All American II Cotton Washclo Swedish Blue Washcloths</t>
  </si>
  <si>
    <t>079387TH006</t>
  </si>
  <si>
    <t>766195440822</t>
  </si>
  <si>
    <t>Tommy Hilfiger All American II Cotton Washclo Mist Blue Washcloths</t>
  </si>
  <si>
    <t>079387TH033</t>
  </si>
  <si>
    <t>766195440648</t>
  </si>
  <si>
    <t>Tommy Hilfiger All American II Cotton Washclo Steel Grey Washcloths</t>
  </si>
  <si>
    <t>079387TH015</t>
  </si>
  <si>
    <t>848405033168</t>
  </si>
  <si>
    <t>Mainstream International Inc. Sonata Cotton 12 x 12 Wash T Pink No Size</t>
  </si>
  <si>
    <t>MACLSC194107</t>
  </si>
  <si>
    <t>646760040124</t>
  </si>
  <si>
    <t>French Connection Mingle Cotton Reversible Yarn- Dark Blue</t>
  </si>
  <si>
    <t>MAT000019</t>
  </si>
  <si>
    <t>CREATIVE HOME IDEAS/YMF CARPET INC</t>
  </si>
  <si>
    <t>732998127314</t>
  </si>
  <si>
    <t>NEW SWTH STR FQ BASIC</t>
  </si>
  <si>
    <t>100090475FQ</t>
  </si>
  <si>
    <t>41808906095</t>
  </si>
  <si>
    <t>BRAMBLE KG SHAM</t>
  </si>
  <si>
    <t>A087417BLOIE</t>
  </si>
  <si>
    <t>VERA BRADLEY/PEKING HANDICRAFT INC</t>
  </si>
  <si>
    <t>732998127390</t>
  </si>
  <si>
    <t>NEW DAISY WHEEL SHAM BASIC</t>
  </si>
  <si>
    <t>100090476ST</t>
  </si>
  <si>
    <t>32281163563</t>
  </si>
  <si>
    <t>DRAFT - LION KING 3PC STORAGE Multi Color ONE SIZE</t>
  </si>
  <si>
    <t>JF16356</t>
  </si>
  <si>
    <t>813538024321</t>
  </si>
  <si>
    <t>MARTEX COTTON LMWBK</t>
  </si>
  <si>
    <t>AYYQC669843</t>
  </si>
  <si>
    <t>VELLUX/WESTPOINT HOME</t>
  </si>
  <si>
    <t>734737580961</t>
  </si>
  <si>
    <t>FORM1/LCSTE CRC SLD 2/H</t>
  </si>
  <si>
    <t>T20020R1601630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</si>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</sst>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Border="1"/>
    <xf numFmtId="164" fontId="0" fillId="0" borderId="0" xfId="0" applyNumberFormat="1"/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3"/>
  <sheetViews>
    <sheetView tabSelected="1" workbookViewId="0">
      <selection activeCell="P2" sqref="P2"/>
    </sheetView>
  </sheetViews>
  <sheetFormatPr defaultRowHeight="15" x14ac:dyDescent="0.25"/>
  <cols>
    <col min="1" max="1" width="14.28515625" customWidth="1"/>
    <col min="2" max="2" width="52.5703125" customWidth="1"/>
    <col min="3" max="3" width="12.7109375" customWidth="1"/>
    <col min="4" max="4" width="11.42578125" customWidth="1"/>
    <col min="5" max="5" width="12.85546875" customWidth="1"/>
    <col min="6" max="6" width="15" customWidth="1"/>
    <col min="7" max="7" width="9.7109375" customWidth="1"/>
    <col min="8" max="8" width="14.85546875" customWidth="1"/>
    <col min="9" max="11" width="11.42578125" customWidth="1"/>
    <col min="12" max="12" width="7.42578125" customWidth="1"/>
    <col min="13" max="13" width="10.855468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4" ht="36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/>
      <c r="L1" s="10"/>
    </row>
    <row r="2" spans="1:14" ht="24" x14ac:dyDescent="0.25">
      <c r="A2" s="3" t="s">
        <v>1628</v>
      </c>
      <c r="B2" s="6">
        <v>13296447</v>
      </c>
      <c r="C2" s="3" t="s">
        <v>10</v>
      </c>
      <c r="D2" s="3" t="s">
        <v>11</v>
      </c>
      <c r="E2" s="4">
        <v>10</v>
      </c>
      <c r="F2" s="4">
        <v>108</v>
      </c>
      <c r="G2" s="3">
        <v>2888</v>
      </c>
      <c r="H2" s="5">
        <v>15921.19</v>
      </c>
      <c r="I2" s="5">
        <v>43020.97</v>
      </c>
      <c r="J2" s="3">
        <v>909</v>
      </c>
      <c r="K2" s="9"/>
      <c r="L2" s="9"/>
      <c r="N2" s="2"/>
    </row>
    <row r="3" spans="1:14" s="1" customFormat="1" x14ac:dyDescent="0.25"/>
    <row r="7" spans="1:14" s="1" customFormat="1" x14ac:dyDescent="0.25"/>
    <row r="8" spans="1:14" ht="36" x14ac:dyDescent="0.25">
      <c r="A8" s="10" t="s">
        <v>14</v>
      </c>
      <c r="B8" s="10" t="s">
        <v>15</v>
      </c>
      <c r="C8" s="10" t="s">
        <v>16</v>
      </c>
      <c r="D8" s="10" t="s">
        <v>13</v>
      </c>
      <c r="E8" s="10" t="s">
        <v>17</v>
      </c>
      <c r="F8" s="10" t="s">
        <v>18</v>
      </c>
      <c r="G8" s="10" t="s">
        <v>19</v>
      </c>
      <c r="H8" s="10" t="s">
        <v>20</v>
      </c>
      <c r="I8" s="10" t="s">
        <v>12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</row>
    <row r="9" spans="1:14" ht="48" x14ac:dyDescent="0.25">
      <c r="A9" s="7" t="s">
        <v>26</v>
      </c>
      <c r="B9" s="3" t="s">
        <v>27</v>
      </c>
      <c r="C9" s="4">
        <v>1</v>
      </c>
      <c r="D9" s="5">
        <v>141.75</v>
      </c>
      <c r="E9" s="5">
        <v>349.99</v>
      </c>
      <c r="F9" s="4" t="s">
        <v>28</v>
      </c>
      <c r="G9" s="3" t="s">
        <v>29</v>
      </c>
      <c r="H9" s="7"/>
      <c r="I9" s="5">
        <v>70.875</v>
      </c>
      <c r="J9" s="3" t="s">
        <v>30</v>
      </c>
      <c r="K9" s="3" t="s">
        <v>31</v>
      </c>
      <c r="L9" s="3" t="s">
        <v>32</v>
      </c>
      <c r="M9" s="3" t="s">
        <v>33</v>
      </c>
      <c r="N9" s="8" t="str">
        <f>HYPERLINK("http://slimages.macys.com/is/image/MCY/8847175 ")</f>
        <v xml:space="preserve">http://slimages.macys.com/is/image/MCY/8847175 </v>
      </c>
    </row>
    <row r="10" spans="1:14" ht="48" x14ac:dyDescent="0.25">
      <c r="A10" s="7" t="s">
        <v>26</v>
      </c>
      <c r="B10" s="3" t="s">
        <v>27</v>
      </c>
      <c r="C10" s="4">
        <v>1</v>
      </c>
      <c r="D10" s="5">
        <v>141.75</v>
      </c>
      <c r="E10" s="5">
        <v>349.99</v>
      </c>
      <c r="F10" s="4" t="s">
        <v>28</v>
      </c>
      <c r="G10" s="3" t="s">
        <v>29</v>
      </c>
      <c r="H10" s="7"/>
      <c r="I10" s="5">
        <v>70.875</v>
      </c>
      <c r="J10" s="3" t="s">
        <v>30</v>
      </c>
      <c r="K10" s="3" t="s">
        <v>31</v>
      </c>
      <c r="L10" s="3" t="s">
        <v>32</v>
      </c>
      <c r="M10" s="3" t="s">
        <v>33</v>
      </c>
      <c r="N10" s="8" t="str">
        <f>HYPERLINK("http://slimages.macys.com/is/image/MCY/8847175 ")</f>
        <v xml:space="preserve">http://slimages.macys.com/is/image/MCY/8847175 </v>
      </c>
    </row>
    <row r="11" spans="1:14" ht="48" x14ac:dyDescent="0.25">
      <c r="A11" s="7" t="s">
        <v>34</v>
      </c>
      <c r="B11" s="3" t="s">
        <v>35</v>
      </c>
      <c r="C11" s="4">
        <v>1</v>
      </c>
      <c r="D11" s="5">
        <v>103.5</v>
      </c>
      <c r="E11" s="5">
        <v>229.99</v>
      </c>
      <c r="F11" s="4">
        <v>600723348001</v>
      </c>
      <c r="G11" s="3" t="s">
        <v>36</v>
      </c>
      <c r="H11" s="7"/>
      <c r="I11" s="5">
        <v>51.75</v>
      </c>
      <c r="J11" s="3" t="s">
        <v>37</v>
      </c>
      <c r="K11" s="3" t="s">
        <v>38</v>
      </c>
      <c r="L11" s="3" t="s">
        <v>32</v>
      </c>
      <c r="M11" s="3" t="s">
        <v>39</v>
      </c>
      <c r="N11" s="8" t="str">
        <f>HYPERLINK("http://slimages.macys.com/is/image/MCY/12684179 ")</f>
        <v xml:space="preserve">http://slimages.macys.com/is/image/MCY/12684179 </v>
      </c>
    </row>
    <row r="12" spans="1:14" ht="48" x14ac:dyDescent="0.25">
      <c r="A12" s="7" t="s">
        <v>40</v>
      </c>
      <c r="B12" s="3" t="s">
        <v>41</v>
      </c>
      <c r="C12" s="4">
        <v>1</v>
      </c>
      <c r="D12" s="5">
        <v>101.25</v>
      </c>
      <c r="E12" s="5">
        <v>249.99</v>
      </c>
      <c r="F12" s="4" t="s">
        <v>42</v>
      </c>
      <c r="G12" s="3" t="s">
        <v>29</v>
      </c>
      <c r="H12" s="7"/>
      <c r="I12" s="5">
        <v>50.625</v>
      </c>
      <c r="J12" s="3" t="s">
        <v>30</v>
      </c>
      <c r="K12" s="3" t="s">
        <v>31</v>
      </c>
      <c r="L12" s="3" t="s">
        <v>32</v>
      </c>
      <c r="M12" s="3"/>
      <c r="N12" s="8" t="str">
        <f>HYPERLINK("http://slimages.macys.com/is/image/MCY/8847175 ")</f>
        <v xml:space="preserve">http://slimages.macys.com/is/image/MCY/8847175 </v>
      </c>
    </row>
    <row r="13" spans="1:14" ht="408" x14ac:dyDescent="0.25">
      <c r="A13" s="7" t="s">
        <v>43</v>
      </c>
      <c r="B13" s="3" t="s">
        <v>44</v>
      </c>
      <c r="C13" s="4">
        <v>1</v>
      </c>
      <c r="D13" s="5">
        <v>99.03</v>
      </c>
      <c r="E13" s="5">
        <v>333.99</v>
      </c>
      <c r="F13" s="4" t="s">
        <v>45</v>
      </c>
      <c r="G13" s="3" t="s">
        <v>46</v>
      </c>
      <c r="H13" s="7"/>
      <c r="I13" s="5">
        <v>49.515000000000001</v>
      </c>
      <c r="J13" s="3" t="s">
        <v>47</v>
      </c>
      <c r="K13" s="3" t="s">
        <v>48</v>
      </c>
      <c r="L13" s="3" t="s">
        <v>32</v>
      </c>
      <c r="M13" s="3" t="s">
        <v>49</v>
      </c>
      <c r="N13" s="8" t="str">
        <f>HYPERLINK("http://slimages.macys.com/is/image/MCY/9566733 ")</f>
        <v xml:space="preserve">http://slimages.macys.com/is/image/MCY/9566733 </v>
      </c>
    </row>
    <row r="14" spans="1:14" ht="48" x14ac:dyDescent="0.25">
      <c r="A14" s="7" t="s">
        <v>50</v>
      </c>
      <c r="B14" s="3" t="s">
        <v>51</v>
      </c>
      <c r="C14" s="4">
        <v>1</v>
      </c>
      <c r="D14" s="5">
        <v>95.2</v>
      </c>
      <c r="E14" s="5">
        <v>211.99</v>
      </c>
      <c r="F14" s="4" t="s">
        <v>52</v>
      </c>
      <c r="G14" s="3" t="s">
        <v>53</v>
      </c>
      <c r="H14" s="7"/>
      <c r="I14" s="5">
        <v>47.6</v>
      </c>
      <c r="J14" s="3" t="s">
        <v>47</v>
      </c>
      <c r="K14" s="3" t="s">
        <v>54</v>
      </c>
      <c r="L14" s="3" t="s">
        <v>32</v>
      </c>
      <c r="M14" s="3" t="s">
        <v>55</v>
      </c>
      <c r="N14" s="8" t="str">
        <f>HYPERLINK("http://slimages.macys.com/is/image/MCY/11339023 ")</f>
        <v xml:space="preserve">http://slimages.macys.com/is/image/MCY/11339023 </v>
      </c>
    </row>
    <row r="15" spans="1:14" ht="96" x14ac:dyDescent="0.25">
      <c r="A15" s="7" t="s">
        <v>56</v>
      </c>
      <c r="B15" s="3" t="s">
        <v>57</v>
      </c>
      <c r="C15" s="4">
        <v>1</v>
      </c>
      <c r="D15" s="5">
        <v>91.47</v>
      </c>
      <c r="E15" s="5">
        <v>229.99</v>
      </c>
      <c r="F15" s="4" t="s">
        <v>58</v>
      </c>
      <c r="G15" s="3" t="s">
        <v>59</v>
      </c>
      <c r="H15" s="7"/>
      <c r="I15" s="5">
        <v>45.734999999999999</v>
      </c>
      <c r="J15" s="3" t="s">
        <v>47</v>
      </c>
      <c r="K15" s="3" t="s">
        <v>48</v>
      </c>
      <c r="L15" s="3" t="s">
        <v>32</v>
      </c>
      <c r="M15" s="3" t="s">
        <v>60</v>
      </c>
      <c r="N15" s="8" t="str">
        <f>HYPERLINK("http://slimages.macys.com/is/image/MCY/9627833 ")</f>
        <v xml:space="preserve">http://slimages.macys.com/is/image/MCY/9627833 </v>
      </c>
    </row>
    <row r="16" spans="1:14" ht="120" x14ac:dyDescent="0.25">
      <c r="A16" s="7" t="s">
        <v>61</v>
      </c>
      <c r="B16" s="3" t="s">
        <v>62</v>
      </c>
      <c r="C16" s="4">
        <v>1</v>
      </c>
      <c r="D16" s="5">
        <v>84.66</v>
      </c>
      <c r="E16" s="5">
        <v>199.99</v>
      </c>
      <c r="F16" s="4" t="s">
        <v>63</v>
      </c>
      <c r="G16" s="3" t="s">
        <v>64</v>
      </c>
      <c r="H16" s="7"/>
      <c r="I16" s="5">
        <v>42.33</v>
      </c>
      <c r="J16" s="3" t="s">
        <v>65</v>
      </c>
      <c r="K16" s="3" t="s">
        <v>66</v>
      </c>
      <c r="L16" s="3" t="s">
        <v>32</v>
      </c>
      <c r="M16" s="3" t="s">
        <v>67</v>
      </c>
      <c r="N16" s="8" t="str">
        <f>HYPERLINK("http://slimages.macys.com/is/image/MCY/9619531 ")</f>
        <v xml:space="preserve">http://slimages.macys.com/is/image/MCY/9619531 </v>
      </c>
    </row>
    <row r="17" spans="1:14" ht="60" x14ac:dyDescent="0.25">
      <c r="A17" s="7" t="s">
        <v>68</v>
      </c>
      <c r="B17" s="3" t="s">
        <v>69</v>
      </c>
      <c r="C17" s="4">
        <v>1</v>
      </c>
      <c r="D17" s="5">
        <v>82.8</v>
      </c>
      <c r="E17" s="5">
        <v>199.99</v>
      </c>
      <c r="F17" s="4" t="s">
        <v>70</v>
      </c>
      <c r="G17" s="3" t="s">
        <v>64</v>
      </c>
      <c r="H17" s="7"/>
      <c r="I17" s="5">
        <v>41.4</v>
      </c>
      <c r="J17" s="3" t="s">
        <v>71</v>
      </c>
      <c r="K17" s="3" t="s">
        <v>72</v>
      </c>
      <c r="L17" s="3" t="s">
        <v>32</v>
      </c>
      <c r="M17" s="3" t="s">
        <v>73</v>
      </c>
      <c r="N17" s="8" t="str">
        <f>HYPERLINK("http://slimages.macys.com/is/image/MCY/8063170 ")</f>
        <v xml:space="preserve">http://slimages.macys.com/is/image/MCY/8063170 </v>
      </c>
    </row>
    <row r="18" spans="1:14" ht="48" x14ac:dyDescent="0.25">
      <c r="A18" s="7" t="s">
        <v>74</v>
      </c>
      <c r="B18" s="3" t="s">
        <v>75</v>
      </c>
      <c r="C18" s="4">
        <v>1</v>
      </c>
      <c r="D18" s="5">
        <v>81</v>
      </c>
      <c r="E18" s="5">
        <v>179.99</v>
      </c>
      <c r="F18" s="4">
        <v>600737017002</v>
      </c>
      <c r="G18" s="3" t="s">
        <v>36</v>
      </c>
      <c r="H18" s="7"/>
      <c r="I18" s="5">
        <v>40.5</v>
      </c>
      <c r="J18" s="3" t="s">
        <v>37</v>
      </c>
      <c r="K18" s="3" t="s">
        <v>38</v>
      </c>
      <c r="L18" s="3" t="s">
        <v>32</v>
      </c>
      <c r="M18" s="3" t="s">
        <v>76</v>
      </c>
      <c r="N18" s="8" t="str">
        <f>HYPERLINK("http://slimages.macys.com/is/image/MCY/10122960 ")</f>
        <v xml:space="preserve">http://slimages.macys.com/is/image/MCY/10122960 </v>
      </c>
    </row>
    <row r="19" spans="1:14" ht="132" x14ac:dyDescent="0.25">
      <c r="A19" s="7" t="s">
        <v>77</v>
      </c>
      <c r="B19" s="3" t="s">
        <v>78</v>
      </c>
      <c r="C19" s="4">
        <v>1</v>
      </c>
      <c r="D19" s="5">
        <v>66.680000000000007</v>
      </c>
      <c r="E19" s="5">
        <v>148.99</v>
      </c>
      <c r="F19" s="4" t="s">
        <v>79</v>
      </c>
      <c r="G19" s="3" t="s">
        <v>53</v>
      </c>
      <c r="H19" s="7"/>
      <c r="I19" s="5">
        <v>38.896666666666668</v>
      </c>
      <c r="J19" s="3" t="s">
        <v>80</v>
      </c>
      <c r="K19" s="3" t="s">
        <v>48</v>
      </c>
      <c r="L19" s="3" t="s">
        <v>32</v>
      </c>
      <c r="M19" s="3" t="s">
        <v>81</v>
      </c>
      <c r="N19" s="8" t="str">
        <f>HYPERLINK("http://slimages.macys.com/is/image/MCY/11113387 ")</f>
        <v xml:space="preserve">http://slimages.macys.com/is/image/MCY/11113387 </v>
      </c>
    </row>
    <row r="20" spans="1:14" ht="48" x14ac:dyDescent="0.25">
      <c r="A20" s="7" t="s">
        <v>82</v>
      </c>
      <c r="B20" s="3" t="s">
        <v>83</v>
      </c>
      <c r="C20" s="4">
        <v>1</v>
      </c>
      <c r="D20" s="5">
        <v>76.989999999999995</v>
      </c>
      <c r="E20" s="5">
        <v>179.99</v>
      </c>
      <c r="F20" s="4" t="s">
        <v>84</v>
      </c>
      <c r="G20" s="3" t="s">
        <v>36</v>
      </c>
      <c r="H20" s="7"/>
      <c r="I20" s="5">
        <v>38.495000000000005</v>
      </c>
      <c r="J20" s="3" t="s">
        <v>85</v>
      </c>
      <c r="K20" s="3" t="s">
        <v>86</v>
      </c>
      <c r="L20" s="3"/>
      <c r="M20" s="3"/>
      <c r="N20" s="8" t="str">
        <f>HYPERLINK("http://slimages.macys.com/is/image/MCY/16608843 ")</f>
        <v xml:space="preserve">http://slimages.macys.com/is/image/MCY/16608843 </v>
      </c>
    </row>
    <row r="21" spans="1:14" ht="48" x14ac:dyDescent="0.25">
      <c r="A21" s="7" t="s">
        <v>82</v>
      </c>
      <c r="B21" s="3" t="s">
        <v>83</v>
      </c>
      <c r="C21" s="4">
        <v>1</v>
      </c>
      <c r="D21" s="5">
        <v>76.989999999999995</v>
      </c>
      <c r="E21" s="5">
        <v>179.99</v>
      </c>
      <c r="F21" s="4" t="s">
        <v>84</v>
      </c>
      <c r="G21" s="3" t="s">
        <v>36</v>
      </c>
      <c r="H21" s="7"/>
      <c r="I21" s="5">
        <v>38.495000000000005</v>
      </c>
      <c r="J21" s="3" t="s">
        <v>85</v>
      </c>
      <c r="K21" s="3" t="s">
        <v>86</v>
      </c>
      <c r="L21" s="3"/>
      <c r="M21" s="3"/>
      <c r="N21" s="8" t="str">
        <f>HYPERLINK("http://slimages.macys.com/is/image/MCY/16608843 ")</f>
        <v xml:space="preserve">http://slimages.macys.com/is/image/MCY/16608843 </v>
      </c>
    </row>
    <row r="22" spans="1:14" ht="48" x14ac:dyDescent="0.25">
      <c r="A22" s="7" t="s">
        <v>87</v>
      </c>
      <c r="B22" s="3" t="s">
        <v>88</v>
      </c>
      <c r="C22" s="4">
        <v>1</v>
      </c>
      <c r="D22" s="5">
        <v>72.73</v>
      </c>
      <c r="E22" s="5">
        <v>197.99</v>
      </c>
      <c r="F22" s="4" t="s">
        <v>89</v>
      </c>
      <c r="G22" s="3" t="s">
        <v>29</v>
      </c>
      <c r="H22" s="7"/>
      <c r="I22" s="5">
        <v>36.365000000000002</v>
      </c>
      <c r="J22" s="3" t="s">
        <v>47</v>
      </c>
      <c r="K22" s="3" t="s">
        <v>48</v>
      </c>
      <c r="L22" s="3" t="s">
        <v>32</v>
      </c>
      <c r="M22" s="3" t="s">
        <v>90</v>
      </c>
      <c r="N22" s="8" t="str">
        <f>HYPERLINK("http://slimages.macys.com/is/image/MCY/16484351 ")</f>
        <v xml:space="preserve">http://slimages.macys.com/is/image/MCY/16484351 </v>
      </c>
    </row>
    <row r="23" spans="1:14" ht="264" x14ac:dyDescent="0.25">
      <c r="A23" s="7" t="s">
        <v>91</v>
      </c>
      <c r="B23" s="3" t="s">
        <v>92</v>
      </c>
      <c r="C23" s="4">
        <v>1</v>
      </c>
      <c r="D23" s="5">
        <v>71.41</v>
      </c>
      <c r="E23" s="5">
        <v>193.99</v>
      </c>
      <c r="F23" s="4" t="s">
        <v>93</v>
      </c>
      <c r="G23" s="3" t="s">
        <v>94</v>
      </c>
      <c r="H23" s="7"/>
      <c r="I23" s="5">
        <v>35.704999999999998</v>
      </c>
      <c r="J23" s="3" t="s">
        <v>47</v>
      </c>
      <c r="K23" s="3" t="s">
        <v>48</v>
      </c>
      <c r="L23" s="3" t="s">
        <v>32</v>
      </c>
      <c r="M23" s="3" t="s">
        <v>95</v>
      </c>
      <c r="N23" s="8" t="str">
        <f>HYPERLINK("http://slimages.macys.com/is/image/MCY/16417704 ")</f>
        <v xml:space="preserve">http://slimages.macys.com/is/image/MCY/16417704 </v>
      </c>
    </row>
    <row r="24" spans="1:14" ht="60" x14ac:dyDescent="0.25">
      <c r="A24" s="7" t="s">
        <v>96</v>
      </c>
      <c r="B24" s="3" t="s">
        <v>97</v>
      </c>
      <c r="C24" s="4">
        <v>1</v>
      </c>
      <c r="D24" s="5">
        <v>68.89</v>
      </c>
      <c r="E24" s="5">
        <v>199.99</v>
      </c>
      <c r="F24" s="4" t="s">
        <v>98</v>
      </c>
      <c r="G24" s="3" t="s">
        <v>99</v>
      </c>
      <c r="H24" s="7"/>
      <c r="I24" s="5">
        <v>34.445000000000007</v>
      </c>
      <c r="J24" s="3" t="s">
        <v>100</v>
      </c>
      <c r="K24" s="3" t="s">
        <v>101</v>
      </c>
      <c r="L24" s="3"/>
      <c r="M24" s="3"/>
      <c r="N24" s="8" t="str">
        <f>HYPERLINK("http://slimages.macys.com/is/image/MCY/16633345 ")</f>
        <v xml:space="preserve">http://slimages.macys.com/is/image/MCY/16633345 </v>
      </c>
    </row>
    <row r="25" spans="1:14" ht="48" x14ac:dyDescent="0.25">
      <c r="A25" s="7" t="s">
        <v>102</v>
      </c>
      <c r="B25" s="3" t="s">
        <v>103</v>
      </c>
      <c r="C25" s="4">
        <v>8</v>
      </c>
      <c r="D25" s="5">
        <v>68.099999999999994</v>
      </c>
      <c r="E25" s="5">
        <v>199.99</v>
      </c>
      <c r="F25" s="4" t="s">
        <v>104</v>
      </c>
      <c r="G25" s="3" t="s">
        <v>105</v>
      </c>
      <c r="H25" s="7"/>
      <c r="I25" s="5">
        <v>34.050000000000004</v>
      </c>
      <c r="J25" s="3" t="s">
        <v>65</v>
      </c>
      <c r="K25" s="3" t="s">
        <v>66</v>
      </c>
      <c r="L25" s="3" t="s">
        <v>32</v>
      </c>
      <c r="M25" s="3"/>
      <c r="N25" s="8" t="str">
        <f>HYPERLINK("http://slimages.macys.com/is/image/MCY/12898889 ")</f>
        <v xml:space="preserve">http://slimages.macys.com/is/image/MCY/12898889 </v>
      </c>
    </row>
    <row r="26" spans="1:14" ht="409.5" x14ac:dyDescent="0.25">
      <c r="A26" s="7" t="s">
        <v>106</v>
      </c>
      <c r="B26" s="3" t="s">
        <v>107</v>
      </c>
      <c r="C26" s="4">
        <v>1</v>
      </c>
      <c r="D26" s="5">
        <v>67.81</v>
      </c>
      <c r="E26" s="5">
        <v>179.99</v>
      </c>
      <c r="F26" s="4" t="s">
        <v>108</v>
      </c>
      <c r="G26" s="3" t="s">
        <v>109</v>
      </c>
      <c r="H26" s="7"/>
      <c r="I26" s="5">
        <v>33.905000000000001</v>
      </c>
      <c r="J26" s="3" t="s">
        <v>47</v>
      </c>
      <c r="K26" s="3" t="s">
        <v>48</v>
      </c>
      <c r="L26" s="3" t="s">
        <v>32</v>
      </c>
      <c r="M26" s="3" t="s">
        <v>110</v>
      </c>
      <c r="N26" s="8" t="str">
        <f>HYPERLINK("http://slimages.macys.com/is/image/MCY/11454210 ")</f>
        <v xml:space="preserve">http://slimages.macys.com/is/image/MCY/11454210 </v>
      </c>
    </row>
    <row r="27" spans="1:14" ht="48" x14ac:dyDescent="0.25">
      <c r="A27" s="7" t="s">
        <v>111</v>
      </c>
      <c r="B27" s="3" t="s">
        <v>112</v>
      </c>
      <c r="C27" s="4">
        <v>1</v>
      </c>
      <c r="D27" s="5">
        <v>57.18</v>
      </c>
      <c r="E27" s="5">
        <v>142.99</v>
      </c>
      <c r="F27" s="4" t="s">
        <v>113</v>
      </c>
      <c r="G27" s="3" t="s">
        <v>114</v>
      </c>
      <c r="H27" s="7" t="s">
        <v>115</v>
      </c>
      <c r="I27" s="5">
        <v>33.355000000000004</v>
      </c>
      <c r="J27" s="3" t="s">
        <v>116</v>
      </c>
      <c r="K27" s="3" t="s">
        <v>117</v>
      </c>
      <c r="L27" s="3" t="s">
        <v>118</v>
      </c>
      <c r="M27" s="3" t="s">
        <v>39</v>
      </c>
      <c r="N27" s="8" t="str">
        <f>HYPERLINK("http://slimages.macys.com/is/image/MCY/11798318 ")</f>
        <v xml:space="preserve">http://slimages.macys.com/is/image/MCY/11798318 </v>
      </c>
    </row>
    <row r="28" spans="1:14" ht="336" x14ac:dyDescent="0.25">
      <c r="A28" s="7" t="s">
        <v>119</v>
      </c>
      <c r="B28" s="3" t="s">
        <v>120</v>
      </c>
      <c r="C28" s="4">
        <v>1</v>
      </c>
      <c r="D28" s="5">
        <v>57.07</v>
      </c>
      <c r="E28" s="5">
        <v>119.99</v>
      </c>
      <c r="F28" s="4" t="s">
        <v>121</v>
      </c>
      <c r="G28" s="3" t="s">
        <v>122</v>
      </c>
      <c r="H28" s="7"/>
      <c r="I28" s="5">
        <v>33.290833333333332</v>
      </c>
      <c r="J28" s="3" t="s">
        <v>80</v>
      </c>
      <c r="K28" s="3" t="s">
        <v>48</v>
      </c>
      <c r="L28" s="3" t="s">
        <v>32</v>
      </c>
      <c r="M28" s="3" t="s">
        <v>123</v>
      </c>
      <c r="N28" s="8" t="str">
        <f>HYPERLINK("http://slimages.macys.com/is/image/MCY/11113880 ")</f>
        <v xml:space="preserve">http://slimages.macys.com/is/image/MCY/11113880 </v>
      </c>
    </row>
    <row r="29" spans="1:14" ht="48" x14ac:dyDescent="0.25">
      <c r="A29" s="7" t="s">
        <v>124</v>
      </c>
      <c r="B29" s="3" t="s">
        <v>125</v>
      </c>
      <c r="C29" s="4">
        <v>1</v>
      </c>
      <c r="D29" s="5">
        <v>64.989999999999995</v>
      </c>
      <c r="E29" s="5">
        <v>161.99</v>
      </c>
      <c r="F29" s="4" t="s">
        <v>126</v>
      </c>
      <c r="G29" s="3" t="s">
        <v>127</v>
      </c>
      <c r="H29" s="7"/>
      <c r="I29" s="5">
        <v>32.495000000000005</v>
      </c>
      <c r="J29" s="3" t="s">
        <v>71</v>
      </c>
      <c r="K29" s="3" t="s">
        <v>128</v>
      </c>
      <c r="L29" s="3" t="s">
        <v>32</v>
      </c>
      <c r="M29" s="3" t="s">
        <v>129</v>
      </c>
      <c r="N29" s="8" t="str">
        <f>HYPERLINK("http://slimages.macys.com/is/image/MCY/14570340 ")</f>
        <v xml:space="preserve">http://slimages.macys.com/is/image/MCY/14570340 </v>
      </c>
    </row>
    <row r="30" spans="1:14" ht="48" x14ac:dyDescent="0.25">
      <c r="A30" s="7" t="s">
        <v>130</v>
      </c>
      <c r="B30" s="3" t="s">
        <v>131</v>
      </c>
      <c r="C30" s="4">
        <v>1</v>
      </c>
      <c r="D30" s="5">
        <v>54.35</v>
      </c>
      <c r="E30" s="5">
        <v>110.99</v>
      </c>
      <c r="F30" s="4" t="s">
        <v>132</v>
      </c>
      <c r="G30" s="3" t="s">
        <v>59</v>
      </c>
      <c r="H30" s="7"/>
      <c r="I30" s="5">
        <v>31.704166666666669</v>
      </c>
      <c r="J30" s="3" t="s">
        <v>80</v>
      </c>
      <c r="K30" s="3" t="s">
        <v>48</v>
      </c>
      <c r="L30" s="3" t="s">
        <v>32</v>
      </c>
      <c r="M30" s="3" t="s">
        <v>133</v>
      </c>
      <c r="N30" s="8" t="str">
        <f>HYPERLINK("http://slimages.macys.com/is/image/MCY/12290540 ")</f>
        <v xml:space="preserve">http://slimages.macys.com/is/image/MCY/12290540 </v>
      </c>
    </row>
    <row r="31" spans="1:14" ht="336" x14ac:dyDescent="0.25">
      <c r="A31" s="7" t="s">
        <v>134</v>
      </c>
      <c r="B31" s="3" t="s">
        <v>135</v>
      </c>
      <c r="C31" s="4">
        <v>1</v>
      </c>
      <c r="D31" s="5">
        <v>62.39</v>
      </c>
      <c r="E31" s="5">
        <v>142.99</v>
      </c>
      <c r="F31" s="4" t="s">
        <v>136</v>
      </c>
      <c r="G31" s="3" t="s">
        <v>137</v>
      </c>
      <c r="H31" s="7"/>
      <c r="I31" s="5">
        <v>31.195</v>
      </c>
      <c r="J31" s="3" t="s">
        <v>47</v>
      </c>
      <c r="K31" s="3" t="s">
        <v>48</v>
      </c>
      <c r="L31" s="3" t="s">
        <v>32</v>
      </c>
      <c r="M31" s="3" t="s">
        <v>138</v>
      </c>
      <c r="N31" s="8" t="str">
        <f>HYPERLINK("http://slimages.macys.com/is/image/MCY/9627844 ")</f>
        <v xml:space="preserve">http://slimages.macys.com/is/image/MCY/9627844 </v>
      </c>
    </row>
    <row r="32" spans="1:14" ht="60" x14ac:dyDescent="0.25">
      <c r="A32" s="7" t="s">
        <v>139</v>
      </c>
      <c r="B32" s="3" t="s">
        <v>140</v>
      </c>
      <c r="C32" s="4">
        <v>1</v>
      </c>
      <c r="D32" s="5">
        <v>52.95</v>
      </c>
      <c r="E32" s="5">
        <v>121.99</v>
      </c>
      <c r="F32" s="4" t="s">
        <v>141</v>
      </c>
      <c r="G32" s="3" t="s">
        <v>29</v>
      </c>
      <c r="H32" s="7"/>
      <c r="I32" s="5">
        <v>30.887499999999999</v>
      </c>
      <c r="J32" s="3" t="s">
        <v>80</v>
      </c>
      <c r="K32" s="3" t="s">
        <v>48</v>
      </c>
      <c r="L32" s="3" t="s">
        <v>32</v>
      </c>
      <c r="M32" s="3" t="s">
        <v>142</v>
      </c>
      <c r="N32" s="8" t="str">
        <f>HYPERLINK("http://slimages.macys.com/is/image/MCY/9767715 ")</f>
        <v xml:space="preserve">http://slimages.macys.com/is/image/MCY/9767715 </v>
      </c>
    </row>
    <row r="33" spans="1:14" ht="132" x14ac:dyDescent="0.25">
      <c r="A33" s="7" t="s">
        <v>143</v>
      </c>
      <c r="B33" s="3" t="s">
        <v>144</v>
      </c>
      <c r="C33" s="4">
        <v>1</v>
      </c>
      <c r="D33" s="5">
        <v>52.85</v>
      </c>
      <c r="E33" s="5">
        <v>110.99</v>
      </c>
      <c r="F33" s="4" t="s">
        <v>145</v>
      </c>
      <c r="G33" s="3" t="s">
        <v>59</v>
      </c>
      <c r="H33" s="7"/>
      <c r="I33" s="5">
        <v>30.829166666666666</v>
      </c>
      <c r="J33" s="3" t="s">
        <v>80</v>
      </c>
      <c r="K33" s="3" t="s">
        <v>48</v>
      </c>
      <c r="L33" s="3" t="s">
        <v>32</v>
      </c>
      <c r="M33" s="3" t="s">
        <v>146</v>
      </c>
      <c r="N33" s="8" t="str">
        <f>HYPERLINK("http://slimages.macys.com/is/image/MCY/11112998 ")</f>
        <v xml:space="preserve">http://slimages.macys.com/is/image/MCY/11112998 </v>
      </c>
    </row>
    <row r="34" spans="1:14" ht="48" x14ac:dyDescent="0.25">
      <c r="A34" s="7" t="s">
        <v>147</v>
      </c>
      <c r="B34" s="3" t="s">
        <v>148</v>
      </c>
      <c r="C34" s="4">
        <v>1</v>
      </c>
      <c r="D34" s="5">
        <v>52.3</v>
      </c>
      <c r="E34" s="5">
        <v>109.99</v>
      </c>
      <c r="F34" s="4" t="s">
        <v>149</v>
      </c>
      <c r="G34" s="3" t="s">
        <v>36</v>
      </c>
      <c r="H34" s="7"/>
      <c r="I34" s="5">
        <v>30.508333333333333</v>
      </c>
      <c r="J34" s="3" t="s">
        <v>80</v>
      </c>
      <c r="K34" s="3" t="s">
        <v>48</v>
      </c>
      <c r="L34" s="3" t="s">
        <v>32</v>
      </c>
      <c r="M34" s="3" t="s">
        <v>150</v>
      </c>
      <c r="N34" s="8" t="str">
        <f>HYPERLINK("http://slimages.macys.com/is/image/MCY/9803603 ")</f>
        <v xml:space="preserve">http://slimages.macys.com/is/image/MCY/9803603 </v>
      </c>
    </row>
    <row r="35" spans="1:14" ht="168" x14ac:dyDescent="0.25">
      <c r="A35" s="7" t="s">
        <v>151</v>
      </c>
      <c r="B35" s="3" t="s">
        <v>152</v>
      </c>
      <c r="C35" s="4">
        <v>1</v>
      </c>
      <c r="D35" s="5">
        <v>57.77</v>
      </c>
      <c r="E35" s="5">
        <v>149.99</v>
      </c>
      <c r="F35" s="4" t="s">
        <v>153</v>
      </c>
      <c r="G35" s="3" t="s">
        <v>154</v>
      </c>
      <c r="H35" s="7"/>
      <c r="I35" s="5">
        <v>28.885000000000002</v>
      </c>
      <c r="J35" s="3" t="s">
        <v>47</v>
      </c>
      <c r="K35" s="3" t="s">
        <v>48</v>
      </c>
      <c r="L35" s="3" t="s">
        <v>32</v>
      </c>
      <c r="M35" s="3" t="s">
        <v>155</v>
      </c>
      <c r="N35" s="8" t="str">
        <f>HYPERLINK("http://slimages.macys.com/is/image/MCY/9627874 ")</f>
        <v xml:space="preserve">http://slimages.macys.com/is/image/MCY/9627874 </v>
      </c>
    </row>
    <row r="36" spans="1:14" ht="120" x14ac:dyDescent="0.25">
      <c r="A36" s="7" t="s">
        <v>156</v>
      </c>
      <c r="B36" s="3" t="s">
        <v>157</v>
      </c>
      <c r="C36" s="4">
        <v>1</v>
      </c>
      <c r="D36" s="5">
        <v>55.97</v>
      </c>
      <c r="E36" s="5">
        <v>116.99</v>
      </c>
      <c r="F36" s="4" t="s">
        <v>158</v>
      </c>
      <c r="G36" s="3" t="s">
        <v>29</v>
      </c>
      <c r="H36" s="7"/>
      <c r="I36" s="5">
        <v>27.985000000000003</v>
      </c>
      <c r="J36" s="3" t="s">
        <v>47</v>
      </c>
      <c r="K36" s="3" t="s">
        <v>48</v>
      </c>
      <c r="L36" s="3" t="s">
        <v>32</v>
      </c>
      <c r="M36" s="3" t="s">
        <v>159</v>
      </c>
      <c r="N36" s="8" t="str">
        <f>HYPERLINK("http://slimages.macys.com/is/image/MCY/9500083 ")</f>
        <v xml:space="preserve">http://slimages.macys.com/is/image/MCY/9500083 </v>
      </c>
    </row>
    <row r="37" spans="1:14" ht="108" x14ac:dyDescent="0.25">
      <c r="A37" s="7" t="s">
        <v>160</v>
      </c>
      <c r="B37" s="3" t="s">
        <v>161</v>
      </c>
      <c r="C37" s="4">
        <v>1</v>
      </c>
      <c r="D37" s="5">
        <v>47.63</v>
      </c>
      <c r="E37" s="5">
        <v>105.99</v>
      </c>
      <c r="F37" s="4" t="s">
        <v>162</v>
      </c>
      <c r="G37" s="3" t="s">
        <v>29</v>
      </c>
      <c r="H37" s="7"/>
      <c r="I37" s="5">
        <v>27.784166666666668</v>
      </c>
      <c r="J37" s="3" t="s">
        <v>80</v>
      </c>
      <c r="K37" s="3" t="s">
        <v>48</v>
      </c>
      <c r="L37" s="3" t="s">
        <v>32</v>
      </c>
      <c r="M37" s="3" t="s">
        <v>163</v>
      </c>
      <c r="N37" s="8" t="str">
        <f>HYPERLINK("http://slimages.macys.com/is/image/MCY/9798710 ")</f>
        <v xml:space="preserve">http://slimages.macys.com/is/image/MCY/9798710 </v>
      </c>
    </row>
    <row r="38" spans="1:14" ht="108" x14ac:dyDescent="0.25">
      <c r="A38" s="7" t="s">
        <v>164</v>
      </c>
      <c r="B38" s="3" t="s">
        <v>165</v>
      </c>
      <c r="C38" s="4">
        <v>1</v>
      </c>
      <c r="D38" s="5">
        <v>47.63</v>
      </c>
      <c r="E38" s="5">
        <v>105.99</v>
      </c>
      <c r="F38" s="4" t="s">
        <v>166</v>
      </c>
      <c r="G38" s="3" t="s">
        <v>154</v>
      </c>
      <c r="H38" s="7"/>
      <c r="I38" s="5">
        <v>27.784166666666668</v>
      </c>
      <c r="J38" s="3" t="s">
        <v>80</v>
      </c>
      <c r="K38" s="3" t="s">
        <v>48</v>
      </c>
      <c r="L38" s="3" t="s">
        <v>32</v>
      </c>
      <c r="M38" s="3" t="s">
        <v>163</v>
      </c>
      <c r="N38" s="8" t="str">
        <f>HYPERLINK("http://slimages.macys.com/is/image/MCY/9798710 ")</f>
        <v xml:space="preserve">http://slimages.macys.com/is/image/MCY/9798710 </v>
      </c>
    </row>
    <row r="39" spans="1:14" ht="108" x14ac:dyDescent="0.25">
      <c r="A39" s="7" t="s">
        <v>167</v>
      </c>
      <c r="B39" s="3" t="s">
        <v>168</v>
      </c>
      <c r="C39" s="4">
        <v>1</v>
      </c>
      <c r="D39" s="5">
        <v>47.63</v>
      </c>
      <c r="E39" s="5">
        <v>105.99</v>
      </c>
      <c r="F39" s="4" t="s">
        <v>169</v>
      </c>
      <c r="G39" s="3" t="s">
        <v>36</v>
      </c>
      <c r="H39" s="7"/>
      <c r="I39" s="5">
        <v>27.784166666666668</v>
      </c>
      <c r="J39" s="3" t="s">
        <v>80</v>
      </c>
      <c r="K39" s="3" t="s">
        <v>48</v>
      </c>
      <c r="L39" s="3" t="s">
        <v>32</v>
      </c>
      <c r="M39" s="3" t="s">
        <v>163</v>
      </c>
      <c r="N39" s="8" t="str">
        <f>HYPERLINK("http://slimages.macys.com/is/image/MCY/9798710 ")</f>
        <v xml:space="preserve">http://slimages.macys.com/is/image/MCY/9798710 </v>
      </c>
    </row>
    <row r="40" spans="1:14" ht="108" x14ac:dyDescent="0.25">
      <c r="A40" s="7" t="s">
        <v>170</v>
      </c>
      <c r="B40" s="3" t="s">
        <v>171</v>
      </c>
      <c r="C40" s="4">
        <v>1</v>
      </c>
      <c r="D40" s="5">
        <v>47.63</v>
      </c>
      <c r="E40" s="5">
        <v>105.99</v>
      </c>
      <c r="F40" s="4" t="s">
        <v>172</v>
      </c>
      <c r="G40" s="3" t="s">
        <v>59</v>
      </c>
      <c r="H40" s="7"/>
      <c r="I40" s="5">
        <v>27.784166666666668</v>
      </c>
      <c r="J40" s="3" t="s">
        <v>80</v>
      </c>
      <c r="K40" s="3" t="s">
        <v>48</v>
      </c>
      <c r="L40" s="3" t="s">
        <v>32</v>
      </c>
      <c r="M40" s="3" t="s">
        <v>163</v>
      </c>
      <c r="N40" s="8" t="str">
        <f>HYPERLINK("http://slimages.macys.com/is/image/MCY/9798710 ")</f>
        <v xml:space="preserve">http://slimages.macys.com/is/image/MCY/9798710 </v>
      </c>
    </row>
    <row r="41" spans="1:14" ht="168" x14ac:dyDescent="0.25">
      <c r="A41" s="7" t="s">
        <v>173</v>
      </c>
      <c r="B41" s="3" t="s">
        <v>174</v>
      </c>
      <c r="C41" s="4">
        <v>1</v>
      </c>
      <c r="D41" s="5">
        <v>55.45</v>
      </c>
      <c r="E41" s="5">
        <v>139.99</v>
      </c>
      <c r="F41" s="4" t="s">
        <v>175</v>
      </c>
      <c r="G41" s="3" t="s">
        <v>59</v>
      </c>
      <c r="H41" s="7"/>
      <c r="I41" s="5">
        <v>27.725000000000005</v>
      </c>
      <c r="J41" s="3" t="s">
        <v>47</v>
      </c>
      <c r="K41" s="3" t="s">
        <v>48</v>
      </c>
      <c r="L41" s="3" t="s">
        <v>32</v>
      </c>
      <c r="M41" s="3" t="s">
        <v>176</v>
      </c>
      <c r="N41" s="8" t="str">
        <f>HYPERLINK("http://slimages.macys.com/is/image/MCY/9627883 ")</f>
        <v xml:space="preserve">http://slimages.macys.com/is/image/MCY/9627883 </v>
      </c>
    </row>
    <row r="42" spans="1:14" ht="276" x14ac:dyDescent="0.25">
      <c r="A42" s="7" t="s">
        <v>177</v>
      </c>
      <c r="B42" s="3" t="s">
        <v>178</v>
      </c>
      <c r="C42" s="4">
        <v>1</v>
      </c>
      <c r="D42" s="5">
        <v>55.45</v>
      </c>
      <c r="E42" s="5">
        <v>139.99</v>
      </c>
      <c r="F42" s="4" t="s">
        <v>179</v>
      </c>
      <c r="G42" s="3" t="s">
        <v>180</v>
      </c>
      <c r="H42" s="7"/>
      <c r="I42" s="5">
        <v>27.725000000000005</v>
      </c>
      <c r="J42" s="3" t="s">
        <v>47</v>
      </c>
      <c r="K42" s="3" t="s">
        <v>48</v>
      </c>
      <c r="L42" s="3" t="s">
        <v>32</v>
      </c>
      <c r="M42" s="3" t="s">
        <v>181</v>
      </c>
      <c r="N42" s="8" t="str">
        <f>HYPERLINK("http://slimages.macys.com/is/image/MCY/9627809 ")</f>
        <v xml:space="preserve">http://slimages.macys.com/is/image/MCY/9627809 </v>
      </c>
    </row>
    <row r="43" spans="1:14" ht="48" x14ac:dyDescent="0.25">
      <c r="A43" s="7" t="s">
        <v>182</v>
      </c>
      <c r="B43" s="3" t="s">
        <v>183</v>
      </c>
      <c r="C43" s="4">
        <v>1</v>
      </c>
      <c r="D43" s="5">
        <v>54.42</v>
      </c>
      <c r="E43" s="5">
        <v>129.99</v>
      </c>
      <c r="F43" s="4" t="s">
        <v>184</v>
      </c>
      <c r="G43" s="3"/>
      <c r="H43" s="7" t="s">
        <v>185</v>
      </c>
      <c r="I43" s="5">
        <v>27.21</v>
      </c>
      <c r="J43" s="3" t="s">
        <v>186</v>
      </c>
      <c r="K43" s="3" t="s">
        <v>187</v>
      </c>
      <c r="L43" s="3" t="s">
        <v>32</v>
      </c>
      <c r="M43" s="3" t="s">
        <v>188</v>
      </c>
      <c r="N43" s="8" t="str">
        <f>HYPERLINK("http://slimages.macys.com/is/image/MCY/11012498 ")</f>
        <v xml:space="preserve">http://slimages.macys.com/is/image/MCY/11012498 </v>
      </c>
    </row>
    <row r="44" spans="1:14" ht="48" x14ac:dyDescent="0.25">
      <c r="A44" s="7" t="s">
        <v>189</v>
      </c>
      <c r="B44" s="3" t="s">
        <v>190</v>
      </c>
      <c r="C44" s="4">
        <v>1</v>
      </c>
      <c r="D44" s="5">
        <v>45.66</v>
      </c>
      <c r="E44" s="5">
        <v>144.99</v>
      </c>
      <c r="F44" s="4" t="s">
        <v>191</v>
      </c>
      <c r="G44" s="3" t="s">
        <v>192</v>
      </c>
      <c r="H44" s="7"/>
      <c r="I44" s="5">
        <v>26.635000000000002</v>
      </c>
      <c r="J44" s="3" t="s">
        <v>80</v>
      </c>
      <c r="K44" s="3" t="s">
        <v>48</v>
      </c>
      <c r="L44" s="3" t="s">
        <v>32</v>
      </c>
      <c r="M44" s="3" t="s">
        <v>193</v>
      </c>
      <c r="N44" s="8" t="str">
        <f>HYPERLINK("http://slimages.macys.com/is/image/MCY/12056510 ")</f>
        <v xml:space="preserve">http://slimages.macys.com/is/image/MCY/12056510 </v>
      </c>
    </row>
    <row r="45" spans="1:14" ht="48" x14ac:dyDescent="0.25">
      <c r="A45" s="7" t="s">
        <v>194</v>
      </c>
      <c r="B45" s="3" t="s">
        <v>195</v>
      </c>
      <c r="C45" s="4">
        <v>1</v>
      </c>
      <c r="D45" s="5">
        <v>44.65</v>
      </c>
      <c r="E45" s="5">
        <v>99.99</v>
      </c>
      <c r="F45" s="4" t="s">
        <v>196</v>
      </c>
      <c r="G45" s="3" t="s">
        <v>114</v>
      </c>
      <c r="H45" s="7"/>
      <c r="I45" s="5">
        <v>26.045833333333334</v>
      </c>
      <c r="J45" s="3" t="s">
        <v>80</v>
      </c>
      <c r="K45" s="3" t="s">
        <v>48</v>
      </c>
      <c r="L45" s="3" t="s">
        <v>32</v>
      </c>
      <c r="M45" s="3" t="s">
        <v>197</v>
      </c>
      <c r="N45" s="8" t="str">
        <f>HYPERLINK("http://slimages.macys.com/is/image/MCY/11113703 ")</f>
        <v xml:space="preserve">http://slimages.macys.com/is/image/MCY/11113703 </v>
      </c>
    </row>
    <row r="46" spans="1:14" ht="156" x14ac:dyDescent="0.25">
      <c r="A46" s="7" t="s">
        <v>198</v>
      </c>
      <c r="B46" s="3" t="s">
        <v>199</v>
      </c>
      <c r="C46" s="4">
        <v>1</v>
      </c>
      <c r="D46" s="5">
        <v>52.07</v>
      </c>
      <c r="E46" s="5">
        <v>139.99</v>
      </c>
      <c r="F46" s="4" t="s">
        <v>200</v>
      </c>
      <c r="G46" s="3" t="s">
        <v>59</v>
      </c>
      <c r="H46" s="7"/>
      <c r="I46" s="5">
        <v>26.035</v>
      </c>
      <c r="J46" s="3" t="s">
        <v>47</v>
      </c>
      <c r="K46" s="3" t="s">
        <v>48</v>
      </c>
      <c r="L46" s="3" t="s">
        <v>32</v>
      </c>
      <c r="M46" s="3" t="s">
        <v>201</v>
      </c>
      <c r="N46" s="8" t="str">
        <f>HYPERLINK("http://slimages.macys.com/is/image/MCY/9627982 ")</f>
        <v xml:space="preserve">http://slimages.macys.com/is/image/MCY/9627982 </v>
      </c>
    </row>
    <row r="47" spans="1:14" ht="48" x14ac:dyDescent="0.25">
      <c r="A47" s="7" t="s">
        <v>202</v>
      </c>
      <c r="B47" s="3" t="s">
        <v>203</v>
      </c>
      <c r="C47" s="4">
        <v>3</v>
      </c>
      <c r="D47" s="5">
        <v>50.9</v>
      </c>
      <c r="E47" s="5">
        <v>129.99</v>
      </c>
      <c r="F47" s="4" t="s">
        <v>204</v>
      </c>
      <c r="G47" s="3" t="s">
        <v>205</v>
      </c>
      <c r="H47" s="7" t="s">
        <v>206</v>
      </c>
      <c r="I47" s="5">
        <v>25.45</v>
      </c>
      <c r="J47" s="3" t="s">
        <v>186</v>
      </c>
      <c r="K47" s="3" t="s">
        <v>207</v>
      </c>
      <c r="L47" s="3" t="s">
        <v>32</v>
      </c>
      <c r="M47" s="3" t="s">
        <v>208</v>
      </c>
      <c r="N47" s="8" t="str">
        <f>HYPERLINK("http://slimages.macys.com/is/image/MCY/3391532 ")</f>
        <v xml:space="preserve">http://slimages.macys.com/is/image/MCY/3391532 </v>
      </c>
    </row>
    <row r="48" spans="1:14" ht="84" x14ac:dyDescent="0.25">
      <c r="A48" s="7" t="s">
        <v>209</v>
      </c>
      <c r="B48" s="3" t="s">
        <v>210</v>
      </c>
      <c r="C48" s="4">
        <v>1</v>
      </c>
      <c r="D48" s="5">
        <v>50.74</v>
      </c>
      <c r="E48" s="5">
        <v>119.99</v>
      </c>
      <c r="F48" s="4" t="s">
        <v>211</v>
      </c>
      <c r="G48" s="3" t="s">
        <v>114</v>
      </c>
      <c r="H48" s="7" t="s">
        <v>212</v>
      </c>
      <c r="I48" s="5">
        <v>25.37</v>
      </c>
      <c r="J48" s="3" t="s">
        <v>213</v>
      </c>
      <c r="K48" s="3" t="s">
        <v>214</v>
      </c>
      <c r="L48" s="3" t="s">
        <v>215</v>
      </c>
      <c r="M48" s="3" t="s">
        <v>216</v>
      </c>
      <c r="N48" s="8" t="str">
        <f>HYPERLINK("http://slimages.macys.com/is/image/MCY/3607558 ")</f>
        <v xml:space="preserve">http://slimages.macys.com/is/image/MCY/3607558 </v>
      </c>
    </row>
    <row r="49" spans="1:14" ht="48" x14ac:dyDescent="0.25">
      <c r="A49" s="7" t="s">
        <v>217</v>
      </c>
      <c r="B49" s="3" t="s">
        <v>218</v>
      </c>
      <c r="C49" s="4">
        <v>1</v>
      </c>
      <c r="D49" s="5">
        <v>43.47</v>
      </c>
      <c r="E49" s="5">
        <v>88.99</v>
      </c>
      <c r="F49" s="4" t="s">
        <v>219</v>
      </c>
      <c r="G49" s="3" t="s">
        <v>220</v>
      </c>
      <c r="H49" s="7"/>
      <c r="I49" s="5">
        <v>25.357499999999998</v>
      </c>
      <c r="J49" s="3" t="s">
        <v>80</v>
      </c>
      <c r="K49" s="3" t="s">
        <v>48</v>
      </c>
      <c r="L49" s="3" t="s">
        <v>32</v>
      </c>
      <c r="M49" s="3"/>
      <c r="N49" s="8" t="str">
        <f>HYPERLINK("http://slimages.macys.com/is/image/MCY/12291966 ")</f>
        <v xml:space="preserve">http://slimages.macys.com/is/image/MCY/12291966 </v>
      </c>
    </row>
    <row r="50" spans="1:14" ht="168" x14ac:dyDescent="0.25">
      <c r="A50" s="7" t="s">
        <v>221</v>
      </c>
      <c r="B50" s="3" t="s">
        <v>222</v>
      </c>
      <c r="C50" s="4">
        <v>1</v>
      </c>
      <c r="D50" s="5">
        <v>49.72</v>
      </c>
      <c r="E50" s="5">
        <v>134.99</v>
      </c>
      <c r="F50" s="4" t="s">
        <v>223</v>
      </c>
      <c r="G50" s="3" t="s">
        <v>36</v>
      </c>
      <c r="H50" s="7"/>
      <c r="I50" s="5">
        <v>24.860000000000003</v>
      </c>
      <c r="J50" s="3" t="s">
        <v>47</v>
      </c>
      <c r="K50" s="3" t="s">
        <v>48</v>
      </c>
      <c r="L50" s="3" t="s">
        <v>32</v>
      </c>
      <c r="M50" s="3" t="s">
        <v>224</v>
      </c>
      <c r="N50" s="8" t="str">
        <f>HYPERLINK("http://slimages.macys.com/is/image/MCY/9627974 ")</f>
        <v xml:space="preserve">http://slimages.macys.com/is/image/MCY/9627974 </v>
      </c>
    </row>
    <row r="51" spans="1:14" ht="156" x14ac:dyDescent="0.25">
      <c r="A51" s="7" t="s">
        <v>225</v>
      </c>
      <c r="B51" s="3" t="s">
        <v>226</v>
      </c>
      <c r="C51" s="4">
        <v>1</v>
      </c>
      <c r="D51" s="5">
        <v>47.73</v>
      </c>
      <c r="E51" s="5">
        <v>110.99</v>
      </c>
      <c r="F51" s="4" t="s">
        <v>227</v>
      </c>
      <c r="G51" s="3" t="s">
        <v>59</v>
      </c>
      <c r="H51" s="7"/>
      <c r="I51" s="5">
        <v>23.865000000000002</v>
      </c>
      <c r="J51" s="3" t="s">
        <v>47</v>
      </c>
      <c r="K51" s="3" t="s">
        <v>48</v>
      </c>
      <c r="L51" s="3" t="s">
        <v>32</v>
      </c>
      <c r="M51" s="3" t="s">
        <v>228</v>
      </c>
      <c r="N51" s="8" t="str">
        <f>HYPERLINK("http://slimages.macys.com/is/image/MCY/11113010 ")</f>
        <v xml:space="preserve">http://slimages.macys.com/is/image/MCY/11113010 </v>
      </c>
    </row>
    <row r="52" spans="1:14" ht="48" x14ac:dyDescent="0.25">
      <c r="A52" s="7" t="s">
        <v>229</v>
      </c>
      <c r="B52" s="3" t="s">
        <v>230</v>
      </c>
      <c r="C52" s="4">
        <v>1</v>
      </c>
      <c r="D52" s="5">
        <v>40.6</v>
      </c>
      <c r="E52" s="5">
        <v>119.99</v>
      </c>
      <c r="F52" s="4" t="s">
        <v>231</v>
      </c>
      <c r="G52" s="3" t="s">
        <v>59</v>
      </c>
      <c r="H52" s="7"/>
      <c r="I52" s="5">
        <v>23.683333333333337</v>
      </c>
      <c r="J52" s="3" t="s">
        <v>80</v>
      </c>
      <c r="K52" s="3" t="s">
        <v>54</v>
      </c>
      <c r="L52" s="3" t="s">
        <v>32</v>
      </c>
      <c r="M52" s="3" t="s">
        <v>208</v>
      </c>
      <c r="N52" s="8" t="str">
        <f>HYPERLINK("http://slimages.macys.com/is/image/MCY/10341075 ")</f>
        <v xml:space="preserve">http://slimages.macys.com/is/image/MCY/10341075 </v>
      </c>
    </row>
    <row r="53" spans="1:14" ht="108" x14ac:dyDescent="0.25">
      <c r="A53" s="7" t="s">
        <v>232</v>
      </c>
      <c r="B53" s="3" t="s">
        <v>233</v>
      </c>
      <c r="C53" s="4">
        <v>1</v>
      </c>
      <c r="D53" s="5">
        <v>40.590000000000003</v>
      </c>
      <c r="E53" s="5">
        <v>128.99</v>
      </c>
      <c r="F53" s="4" t="s">
        <v>234</v>
      </c>
      <c r="G53" s="3" t="s">
        <v>192</v>
      </c>
      <c r="H53" s="7"/>
      <c r="I53" s="5">
        <v>23.677500000000002</v>
      </c>
      <c r="J53" s="3" t="s">
        <v>80</v>
      </c>
      <c r="K53" s="3" t="s">
        <v>48</v>
      </c>
      <c r="L53" s="3" t="s">
        <v>32</v>
      </c>
      <c r="M53" s="3" t="s">
        <v>235</v>
      </c>
      <c r="N53" s="8" t="str">
        <f>HYPERLINK("http://slimages.macys.com/is/image/MCY/12056510 ")</f>
        <v xml:space="preserve">http://slimages.macys.com/is/image/MCY/12056510 </v>
      </c>
    </row>
    <row r="54" spans="1:14" ht="108" x14ac:dyDescent="0.25">
      <c r="A54" s="7" t="s">
        <v>236</v>
      </c>
      <c r="B54" s="3" t="s">
        <v>237</v>
      </c>
      <c r="C54" s="4">
        <v>1</v>
      </c>
      <c r="D54" s="5">
        <v>40.590000000000003</v>
      </c>
      <c r="E54" s="5">
        <v>77.989999999999995</v>
      </c>
      <c r="F54" s="4" t="s">
        <v>238</v>
      </c>
      <c r="G54" s="3" t="s">
        <v>114</v>
      </c>
      <c r="H54" s="7"/>
      <c r="I54" s="5">
        <v>23.677500000000002</v>
      </c>
      <c r="J54" s="3" t="s">
        <v>80</v>
      </c>
      <c r="K54" s="3" t="s">
        <v>48</v>
      </c>
      <c r="L54" s="3" t="s">
        <v>32</v>
      </c>
      <c r="M54" s="3" t="s">
        <v>235</v>
      </c>
      <c r="N54" s="8" t="str">
        <f>HYPERLINK("http://slimages.macys.com/is/image/MCY/12056510 ")</f>
        <v xml:space="preserve">http://slimages.macys.com/is/image/MCY/12056510 </v>
      </c>
    </row>
    <row r="55" spans="1:14" ht="72" x14ac:dyDescent="0.25">
      <c r="A55" s="7" t="s">
        <v>239</v>
      </c>
      <c r="B55" s="3" t="s">
        <v>240</v>
      </c>
      <c r="C55" s="4">
        <v>1</v>
      </c>
      <c r="D55" s="5">
        <v>47.24</v>
      </c>
      <c r="E55" s="5">
        <v>119.99</v>
      </c>
      <c r="F55" s="4" t="s">
        <v>241</v>
      </c>
      <c r="G55" s="3" t="s">
        <v>59</v>
      </c>
      <c r="H55" s="7"/>
      <c r="I55" s="5">
        <v>23.62</v>
      </c>
      <c r="J55" s="3" t="s">
        <v>47</v>
      </c>
      <c r="K55" s="3" t="s">
        <v>48</v>
      </c>
      <c r="L55" s="3" t="s">
        <v>32</v>
      </c>
      <c r="M55" s="3" t="s">
        <v>242</v>
      </c>
      <c r="N55" s="8" t="str">
        <f>HYPERLINK("http://slimages.macys.com/is/image/MCY/9627753 ")</f>
        <v xml:space="preserve">http://slimages.macys.com/is/image/MCY/9627753 </v>
      </c>
    </row>
    <row r="56" spans="1:14" ht="60" x14ac:dyDescent="0.25">
      <c r="A56" s="7" t="s">
        <v>243</v>
      </c>
      <c r="B56" s="3" t="s">
        <v>244</v>
      </c>
      <c r="C56" s="4">
        <v>2</v>
      </c>
      <c r="D56" s="5">
        <v>47</v>
      </c>
      <c r="E56" s="5">
        <v>125</v>
      </c>
      <c r="F56" s="4" t="s">
        <v>245</v>
      </c>
      <c r="G56" s="3" t="s">
        <v>220</v>
      </c>
      <c r="H56" s="7"/>
      <c r="I56" s="5">
        <v>23.5</v>
      </c>
      <c r="J56" s="3" t="s">
        <v>47</v>
      </c>
      <c r="K56" s="3" t="s">
        <v>246</v>
      </c>
      <c r="L56" s="3" t="s">
        <v>247</v>
      </c>
      <c r="M56" s="3" t="s">
        <v>248</v>
      </c>
      <c r="N56" s="8" t="str">
        <f>HYPERLINK("http://images.bloomingdales.com/is/image/BLM/10497222 ")</f>
        <v xml:space="preserve">http://images.bloomingdales.com/is/image/BLM/10497222 </v>
      </c>
    </row>
    <row r="57" spans="1:14" ht="48" x14ac:dyDescent="0.25">
      <c r="A57" s="7" t="s">
        <v>249</v>
      </c>
      <c r="B57" s="3" t="s">
        <v>250</v>
      </c>
      <c r="C57" s="4">
        <v>1</v>
      </c>
      <c r="D57" s="5">
        <v>40.17</v>
      </c>
      <c r="E57" s="5">
        <v>144.99</v>
      </c>
      <c r="F57" s="4" t="s">
        <v>251</v>
      </c>
      <c r="G57" s="3" t="s">
        <v>252</v>
      </c>
      <c r="H57" s="7"/>
      <c r="I57" s="5">
        <v>23.432500000000001</v>
      </c>
      <c r="J57" s="3" t="s">
        <v>80</v>
      </c>
      <c r="K57" s="3" t="s">
        <v>48</v>
      </c>
      <c r="L57" s="3" t="s">
        <v>32</v>
      </c>
      <c r="M57" s="3" t="s">
        <v>193</v>
      </c>
      <c r="N57" s="8" t="str">
        <f>HYPERLINK("http://slimages.macys.com/is/image/MCY/12056510 ")</f>
        <v xml:space="preserve">http://slimages.macys.com/is/image/MCY/12056510 </v>
      </c>
    </row>
    <row r="58" spans="1:14" ht="48" x14ac:dyDescent="0.25">
      <c r="A58" s="7" t="s">
        <v>253</v>
      </c>
      <c r="B58" s="3" t="s">
        <v>254</v>
      </c>
      <c r="C58" s="4">
        <v>1</v>
      </c>
      <c r="D58" s="5">
        <v>46.75</v>
      </c>
      <c r="E58" s="5">
        <v>109.99</v>
      </c>
      <c r="F58" s="4" t="s">
        <v>255</v>
      </c>
      <c r="G58" s="3" t="s">
        <v>29</v>
      </c>
      <c r="H58" s="7"/>
      <c r="I58" s="5">
        <v>23.375</v>
      </c>
      <c r="J58" s="3" t="s">
        <v>256</v>
      </c>
      <c r="K58" s="3" t="s">
        <v>257</v>
      </c>
      <c r="L58" s="3" t="s">
        <v>32</v>
      </c>
      <c r="M58" s="3" t="s">
        <v>76</v>
      </c>
      <c r="N58" s="8" t="str">
        <f>HYPERLINK("http://slimages.macys.com/is/image/MCY/15730380 ")</f>
        <v xml:space="preserve">http://slimages.macys.com/is/image/MCY/15730380 </v>
      </c>
    </row>
    <row r="59" spans="1:14" ht="96" x14ac:dyDescent="0.25">
      <c r="A59" s="7" t="s">
        <v>258</v>
      </c>
      <c r="B59" s="3" t="s">
        <v>259</v>
      </c>
      <c r="C59" s="4">
        <v>1</v>
      </c>
      <c r="D59" s="5">
        <v>39.94</v>
      </c>
      <c r="E59" s="5">
        <v>77.989999999999995</v>
      </c>
      <c r="F59" s="4" t="s">
        <v>260</v>
      </c>
      <c r="G59" s="3" t="s">
        <v>29</v>
      </c>
      <c r="H59" s="7"/>
      <c r="I59" s="5">
        <v>23.298333333333332</v>
      </c>
      <c r="J59" s="3" t="s">
        <v>80</v>
      </c>
      <c r="K59" s="3" t="s">
        <v>48</v>
      </c>
      <c r="L59" s="3" t="s">
        <v>32</v>
      </c>
      <c r="M59" s="3" t="s">
        <v>261</v>
      </c>
      <c r="N59" s="8" t="str">
        <f>HYPERLINK("http://slimages.macys.com/is/image/MCY/12071160 ")</f>
        <v xml:space="preserve">http://slimages.macys.com/is/image/MCY/12071160 </v>
      </c>
    </row>
    <row r="60" spans="1:14" ht="96" x14ac:dyDescent="0.25">
      <c r="A60" s="7" t="s">
        <v>262</v>
      </c>
      <c r="B60" s="3" t="s">
        <v>263</v>
      </c>
      <c r="C60" s="4">
        <v>1</v>
      </c>
      <c r="D60" s="5">
        <v>39.94</v>
      </c>
      <c r="E60" s="5">
        <v>77.989999999999995</v>
      </c>
      <c r="F60" s="4" t="s">
        <v>264</v>
      </c>
      <c r="G60" s="3" t="s">
        <v>114</v>
      </c>
      <c r="H60" s="7"/>
      <c r="I60" s="5">
        <v>23.298333333333332</v>
      </c>
      <c r="J60" s="3" t="s">
        <v>80</v>
      </c>
      <c r="K60" s="3" t="s">
        <v>48</v>
      </c>
      <c r="L60" s="3" t="s">
        <v>32</v>
      </c>
      <c r="M60" s="3" t="s">
        <v>261</v>
      </c>
      <c r="N60" s="8" t="str">
        <f>HYPERLINK("http://slimages.macys.com/is/image/MCY/12071160 ")</f>
        <v xml:space="preserve">http://slimages.macys.com/is/image/MCY/12071160 </v>
      </c>
    </row>
    <row r="61" spans="1:14" ht="72" x14ac:dyDescent="0.25">
      <c r="A61" s="7" t="s">
        <v>265</v>
      </c>
      <c r="B61" s="3" t="s">
        <v>266</v>
      </c>
      <c r="C61" s="4">
        <v>1</v>
      </c>
      <c r="D61" s="5">
        <v>46.4</v>
      </c>
      <c r="E61" s="5">
        <v>149.99</v>
      </c>
      <c r="F61" s="4" t="s">
        <v>267</v>
      </c>
      <c r="G61" s="3" t="s">
        <v>220</v>
      </c>
      <c r="H61" s="7" t="s">
        <v>268</v>
      </c>
      <c r="I61" s="5">
        <v>23.2</v>
      </c>
      <c r="J61" s="3" t="s">
        <v>65</v>
      </c>
      <c r="K61" s="3" t="s">
        <v>66</v>
      </c>
      <c r="L61" s="3" t="s">
        <v>32</v>
      </c>
      <c r="M61" s="3" t="s">
        <v>269</v>
      </c>
      <c r="N61" s="8" t="str">
        <f>HYPERLINK("http://slimages.macys.com/is/image/MCY/9796168 ")</f>
        <v xml:space="preserve">http://slimages.macys.com/is/image/MCY/9796168 </v>
      </c>
    </row>
    <row r="62" spans="1:14" ht="60" x14ac:dyDescent="0.25">
      <c r="A62" s="7" t="s">
        <v>270</v>
      </c>
      <c r="B62" s="3" t="s">
        <v>271</v>
      </c>
      <c r="C62" s="4">
        <v>1</v>
      </c>
      <c r="D62" s="5">
        <v>46.24</v>
      </c>
      <c r="E62" s="5">
        <v>105.99</v>
      </c>
      <c r="F62" s="4" t="s">
        <v>272</v>
      </c>
      <c r="G62" s="3" t="s">
        <v>36</v>
      </c>
      <c r="H62" s="7"/>
      <c r="I62" s="5">
        <v>23.12</v>
      </c>
      <c r="J62" s="3" t="s">
        <v>47</v>
      </c>
      <c r="K62" s="3" t="s">
        <v>48</v>
      </c>
      <c r="L62" s="3" t="s">
        <v>32</v>
      </c>
      <c r="M62" s="3" t="s">
        <v>273</v>
      </c>
      <c r="N62" s="8" t="str">
        <f>HYPERLINK("http://slimages.macys.com/is/image/MCY/9767711 ")</f>
        <v xml:space="preserve">http://slimages.macys.com/is/image/MCY/9767711 </v>
      </c>
    </row>
    <row r="63" spans="1:14" ht="60" x14ac:dyDescent="0.25">
      <c r="A63" s="7" t="s">
        <v>274</v>
      </c>
      <c r="B63" s="3" t="s">
        <v>275</v>
      </c>
      <c r="C63" s="4">
        <v>1</v>
      </c>
      <c r="D63" s="5">
        <v>45.35</v>
      </c>
      <c r="E63" s="5">
        <v>179.99</v>
      </c>
      <c r="F63" s="4" t="s">
        <v>276</v>
      </c>
      <c r="G63" s="3" t="s">
        <v>64</v>
      </c>
      <c r="H63" s="7"/>
      <c r="I63" s="5">
        <v>22.675000000000001</v>
      </c>
      <c r="J63" s="3" t="s">
        <v>65</v>
      </c>
      <c r="K63" s="3" t="s">
        <v>277</v>
      </c>
      <c r="L63" s="3" t="s">
        <v>32</v>
      </c>
      <c r="M63" s="3"/>
      <c r="N63" s="8" t="str">
        <f>HYPERLINK("http://slimages.macys.com/is/image/MCY/9021459 ")</f>
        <v xml:space="preserve">http://slimages.macys.com/is/image/MCY/9021459 </v>
      </c>
    </row>
    <row r="64" spans="1:14" ht="48" x14ac:dyDescent="0.25">
      <c r="A64" s="7" t="s">
        <v>278</v>
      </c>
      <c r="B64" s="3" t="s">
        <v>279</v>
      </c>
      <c r="C64" s="4">
        <v>1</v>
      </c>
      <c r="D64" s="5">
        <v>45</v>
      </c>
      <c r="E64" s="5">
        <v>128.99</v>
      </c>
      <c r="F64" s="4" t="s">
        <v>280</v>
      </c>
      <c r="G64" s="3" t="s">
        <v>127</v>
      </c>
      <c r="H64" s="7" t="s">
        <v>281</v>
      </c>
      <c r="I64" s="5">
        <v>22.5</v>
      </c>
      <c r="J64" s="3" t="s">
        <v>47</v>
      </c>
      <c r="K64" s="3" t="s">
        <v>282</v>
      </c>
      <c r="L64" s="3" t="s">
        <v>32</v>
      </c>
      <c r="M64" s="3" t="s">
        <v>208</v>
      </c>
      <c r="N64" s="8" t="str">
        <f>HYPERLINK("http://slimages.macys.com/is/image/MCY/14477172 ")</f>
        <v xml:space="preserve">http://slimages.macys.com/is/image/MCY/14477172 </v>
      </c>
    </row>
    <row r="65" spans="1:14" ht="84" x14ac:dyDescent="0.25">
      <c r="A65" s="7" t="s">
        <v>283</v>
      </c>
      <c r="B65" s="3" t="s">
        <v>284</v>
      </c>
      <c r="C65" s="4">
        <v>1</v>
      </c>
      <c r="D65" s="5">
        <v>45</v>
      </c>
      <c r="E65" s="5">
        <v>99.99</v>
      </c>
      <c r="F65" s="4">
        <v>600656447001</v>
      </c>
      <c r="G65" s="3" t="s">
        <v>36</v>
      </c>
      <c r="H65" s="7" t="s">
        <v>285</v>
      </c>
      <c r="I65" s="5">
        <v>22.5</v>
      </c>
      <c r="J65" s="3" t="s">
        <v>37</v>
      </c>
      <c r="K65" s="3" t="s">
        <v>38</v>
      </c>
      <c r="L65" s="3" t="s">
        <v>215</v>
      </c>
      <c r="M65" s="3"/>
      <c r="N65" s="8" t="str">
        <f>HYPERLINK("http://slimages.macys.com/is/image/MCY/8576356 ")</f>
        <v xml:space="preserve">http://slimages.macys.com/is/image/MCY/8576356 </v>
      </c>
    </row>
    <row r="66" spans="1:14" ht="60" x14ac:dyDescent="0.25">
      <c r="A66" s="7" t="s">
        <v>286</v>
      </c>
      <c r="B66" s="3" t="s">
        <v>287</v>
      </c>
      <c r="C66" s="4">
        <v>1</v>
      </c>
      <c r="D66" s="5">
        <v>45</v>
      </c>
      <c r="E66" s="5">
        <v>131.99</v>
      </c>
      <c r="F66" s="4">
        <v>70007</v>
      </c>
      <c r="G66" s="3" t="s">
        <v>114</v>
      </c>
      <c r="H66" s="7" t="s">
        <v>288</v>
      </c>
      <c r="I66" s="5">
        <v>22.5</v>
      </c>
      <c r="J66" s="3" t="s">
        <v>47</v>
      </c>
      <c r="K66" s="3" t="s">
        <v>289</v>
      </c>
      <c r="L66" s="3" t="s">
        <v>32</v>
      </c>
      <c r="M66" s="3" t="s">
        <v>290</v>
      </c>
      <c r="N66" s="8" t="str">
        <f>HYPERLINK("http://slimages.macys.com/is/image/MCY/11573669 ")</f>
        <v xml:space="preserve">http://slimages.macys.com/is/image/MCY/11573669 </v>
      </c>
    </row>
    <row r="67" spans="1:14" ht="48" x14ac:dyDescent="0.25">
      <c r="A67" s="7" t="s">
        <v>291</v>
      </c>
      <c r="B67" s="3" t="s">
        <v>292</v>
      </c>
      <c r="C67" s="4">
        <v>1</v>
      </c>
      <c r="D67" s="5">
        <v>44.55</v>
      </c>
      <c r="E67" s="5">
        <v>109.99</v>
      </c>
      <c r="F67" s="4" t="s">
        <v>293</v>
      </c>
      <c r="G67" s="3" t="s">
        <v>29</v>
      </c>
      <c r="H67" s="7"/>
      <c r="I67" s="5">
        <v>22.275000000000002</v>
      </c>
      <c r="J67" s="3" t="s">
        <v>30</v>
      </c>
      <c r="K67" s="3" t="s">
        <v>31</v>
      </c>
      <c r="L67" s="3" t="s">
        <v>32</v>
      </c>
      <c r="M67" s="3"/>
      <c r="N67" s="8" t="str">
        <f>HYPERLINK("http://slimages.macys.com/is/image/MCY/8843473 ")</f>
        <v xml:space="preserve">http://slimages.macys.com/is/image/MCY/8843473 </v>
      </c>
    </row>
    <row r="68" spans="1:14" ht="144" x14ac:dyDescent="0.25">
      <c r="A68" s="7" t="s">
        <v>294</v>
      </c>
      <c r="B68" s="3" t="s">
        <v>295</v>
      </c>
      <c r="C68" s="4">
        <v>1</v>
      </c>
      <c r="D68" s="5">
        <v>38.04</v>
      </c>
      <c r="E68" s="5">
        <v>77.989999999999995</v>
      </c>
      <c r="F68" s="4" t="s">
        <v>296</v>
      </c>
      <c r="G68" s="3" t="s">
        <v>297</v>
      </c>
      <c r="H68" s="7"/>
      <c r="I68" s="5">
        <v>22.19</v>
      </c>
      <c r="J68" s="3" t="s">
        <v>80</v>
      </c>
      <c r="K68" s="3" t="s">
        <v>48</v>
      </c>
      <c r="L68" s="3" t="s">
        <v>32</v>
      </c>
      <c r="M68" s="3" t="s">
        <v>298</v>
      </c>
      <c r="N68" s="8" t="str">
        <f>HYPERLINK("http://slimages.macys.com/is/image/MCY/12291966 ")</f>
        <v xml:space="preserve">http://slimages.macys.com/is/image/MCY/12291966 </v>
      </c>
    </row>
    <row r="69" spans="1:14" ht="48" x14ac:dyDescent="0.25">
      <c r="A69" s="7" t="s">
        <v>299</v>
      </c>
      <c r="B69" s="3" t="s">
        <v>300</v>
      </c>
      <c r="C69" s="4">
        <v>1</v>
      </c>
      <c r="D69" s="5">
        <v>44.07</v>
      </c>
      <c r="E69" s="5">
        <v>119</v>
      </c>
      <c r="F69" s="4">
        <v>10006206400</v>
      </c>
      <c r="G69" s="3" t="s">
        <v>154</v>
      </c>
      <c r="H69" s="7"/>
      <c r="I69" s="5">
        <v>22.035</v>
      </c>
      <c r="J69" s="3" t="s">
        <v>301</v>
      </c>
      <c r="K69" s="3" t="s">
        <v>302</v>
      </c>
      <c r="L69" s="3" t="s">
        <v>32</v>
      </c>
      <c r="M69" s="3" t="s">
        <v>303</v>
      </c>
      <c r="N69" s="8" t="str">
        <f>HYPERLINK("http://slimages.macys.com/is/image/MCY/15420368 ")</f>
        <v xml:space="preserve">http://slimages.macys.com/is/image/MCY/15420368 </v>
      </c>
    </row>
    <row r="70" spans="1:14" ht="48" x14ac:dyDescent="0.25">
      <c r="A70" s="7" t="s">
        <v>304</v>
      </c>
      <c r="B70" s="3" t="s">
        <v>305</v>
      </c>
      <c r="C70" s="4">
        <v>1</v>
      </c>
      <c r="D70" s="5">
        <v>44.02</v>
      </c>
      <c r="E70" s="5">
        <v>99.99</v>
      </c>
      <c r="F70" s="4" t="s">
        <v>306</v>
      </c>
      <c r="G70" s="3" t="s">
        <v>220</v>
      </c>
      <c r="H70" s="7"/>
      <c r="I70" s="5">
        <v>22.01</v>
      </c>
      <c r="J70" s="3" t="s">
        <v>65</v>
      </c>
      <c r="K70" s="3" t="s">
        <v>307</v>
      </c>
      <c r="L70" s="3"/>
      <c r="M70" s="3"/>
      <c r="N70" s="8" t="str">
        <f>HYPERLINK("http://slimages.macys.com/is/image/MCY/9165214 ")</f>
        <v xml:space="preserve">http://slimages.macys.com/is/image/MCY/9165214 </v>
      </c>
    </row>
    <row r="71" spans="1:14" ht="48" x14ac:dyDescent="0.25">
      <c r="A71" s="7" t="s">
        <v>308</v>
      </c>
      <c r="B71" s="3" t="s">
        <v>309</v>
      </c>
      <c r="C71" s="4">
        <v>1</v>
      </c>
      <c r="D71" s="5">
        <v>37.5</v>
      </c>
      <c r="E71" s="5">
        <v>93.99</v>
      </c>
      <c r="F71" s="4" t="s">
        <v>310</v>
      </c>
      <c r="G71" s="3" t="s">
        <v>114</v>
      </c>
      <c r="H71" s="7"/>
      <c r="I71" s="5">
        <v>21.875</v>
      </c>
      <c r="J71" s="3" t="s">
        <v>116</v>
      </c>
      <c r="K71" s="3" t="s">
        <v>311</v>
      </c>
      <c r="L71" s="3" t="s">
        <v>32</v>
      </c>
      <c r="M71" s="3" t="s">
        <v>312</v>
      </c>
      <c r="N71" s="8" t="str">
        <f>HYPERLINK("http://slimages.macys.com/is/image/MCY/14399204 ")</f>
        <v xml:space="preserve">http://slimages.macys.com/is/image/MCY/14399204 </v>
      </c>
    </row>
    <row r="72" spans="1:14" ht="60" x14ac:dyDescent="0.25">
      <c r="A72" s="7" t="s">
        <v>270</v>
      </c>
      <c r="B72" s="3" t="s">
        <v>271</v>
      </c>
      <c r="C72" s="4">
        <v>1</v>
      </c>
      <c r="D72" s="5">
        <v>43.42</v>
      </c>
      <c r="E72" s="5">
        <v>105.99</v>
      </c>
      <c r="F72" s="4" t="s">
        <v>272</v>
      </c>
      <c r="G72" s="3" t="s">
        <v>36</v>
      </c>
      <c r="H72" s="7"/>
      <c r="I72" s="5">
        <v>21.71</v>
      </c>
      <c r="J72" s="3" t="s">
        <v>47</v>
      </c>
      <c r="K72" s="3" t="s">
        <v>48</v>
      </c>
      <c r="L72" s="3" t="s">
        <v>32</v>
      </c>
      <c r="M72" s="3" t="s">
        <v>273</v>
      </c>
      <c r="N72" s="8" t="str">
        <f>HYPERLINK("http://slimages.macys.com/is/image/MCY/9767711 ")</f>
        <v xml:space="preserve">http://slimages.macys.com/is/image/MCY/9767711 </v>
      </c>
    </row>
    <row r="73" spans="1:14" ht="60" x14ac:dyDescent="0.25">
      <c r="A73" s="7" t="s">
        <v>313</v>
      </c>
      <c r="B73" s="3" t="s">
        <v>314</v>
      </c>
      <c r="C73" s="4">
        <v>1</v>
      </c>
      <c r="D73" s="5">
        <v>43.42</v>
      </c>
      <c r="E73" s="5">
        <v>105.99</v>
      </c>
      <c r="F73" s="4" t="s">
        <v>315</v>
      </c>
      <c r="G73" s="3" t="s">
        <v>252</v>
      </c>
      <c r="H73" s="7"/>
      <c r="I73" s="5">
        <v>21.71</v>
      </c>
      <c r="J73" s="3" t="s">
        <v>47</v>
      </c>
      <c r="K73" s="3" t="s">
        <v>48</v>
      </c>
      <c r="L73" s="3" t="s">
        <v>32</v>
      </c>
      <c r="M73" s="3" t="s">
        <v>273</v>
      </c>
      <c r="N73" s="8" t="str">
        <f>HYPERLINK("http://slimages.macys.com/is/image/MCY/9767711 ")</f>
        <v xml:space="preserve">http://slimages.macys.com/is/image/MCY/9767711 </v>
      </c>
    </row>
    <row r="74" spans="1:14" ht="48" x14ac:dyDescent="0.25">
      <c r="A74" s="7" t="s">
        <v>316</v>
      </c>
      <c r="B74" s="3" t="s">
        <v>317</v>
      </c>
      <c r="C74" s="4">
        <v>1</v>
      </c>
      <c r="D74" s="5">
        <v>42.78</v>
      </c>
      <c r="E74" s="5">
        <v>119.99</v>
      </c>
      <c r="F74" s="4" t="s">
        <v>318</v>
      </c>
      <c r="G74" s="3" t="s">
        <v>319</v>
      </c>
      <c r="H74" s="7"/>
      <c r="I74" s="5">
        <v>21.39</v>
      </c>
      <c r="J74" s="3" t="s">
        <v>320</v>
      </c>
      <c r="K74" s="3" t="s">
        <v>321</v>
      </c>
      <c r="L74" s="3" t="s">
        <v>32</v>
      </c>
      <c r="M74" s="3" t="s">
        <v>322</v>
      </c>
      <c r="N74" s="8" t="str">
        <f>HYPERLINK("http://slimages.macys.com/is/image/MCY/3467222 ")</f>
        <v xml:space="preserve">http://slimages.macys.com/is/image/MCY/3467222 </v>
      </c>
    </row>
    <row r="75" spans="1:14" ht="60" x14ac:dyDescent="0.25">
      <c r="A75" s="7" t="s">
        <v>323</v>
      </c>
      <c r="B75" s="3" t="s">
        <v>324</v>
      </c>
      <c r="C75" s="4">
        <v>1</v>
      </c>
      <c r="D75" s="5">
        <v>42.5</v>
      </c>
      <c r="E75" s="5">
        <v>99.99</v>
      </c>
      <c r="F75" s="4" t="s">
        <v>325</v>
      </c>
      <c r="G75" s="3" t="s">
        <v>114</v>
      </c>
      <c r="H75" s="7"/>
      <c r="I75" s="5">
        <v>21.25</v>
      </c>
      <c r="J75" s="3" t="s">
        <v>30</v>
      </c>
      <c r="K75" s="3" t="s">
        <v>326</v>
      </c>
      <c r="L75" s="3" t="s">
        <v>327</v>
      </c>
      <c r="M75" s="3" t="s">
        <v>328</v>
      </c>
      <c r="N75" s="8" t="str">
        <f>HYPERLINK("http://slimages.macys.com/is/image/MCY/3663820 ")</f>
        <v xml:space="preserve">http://slimages.macys.com/is/image/MCY/3663820 </v>
      </c>
    </row>
    <row r="76" spans="1:14" ht="48" x14ac:dyDescent="0.25">
      <c r="A76" s="7" t="s">
        <v>329</v>
      </c>
      <c r="B76" s="3" t="s">
        <v>330</v>
      </c>
      <c r="C76" s="4">
        <v>1</v>
      </c>
      <c r="D76" s="5">
        <v>41.98</v>
      </c>
      <c r="E76" s="5">
        <v>108.99</v>
      </c>
      <c r="F76" s="4" t="s">
        <v>331</v>
      </c>
      <c r="G76" s="3" t="s">
        <v>332</v>
      </c>
      <c r="H76" s="7"/>
      <c r="I76" s="5">
        <v>20.99</v>
      </c>
      <c r="J76" s="3" t="s">
        <v>47</v>
      </c>
      <c r="K76" s="3" t="s">
        <v>48</v>
      </c>
      <c r="L76" s="3" t="s">
        <v>32</v>
      </c>
      <c r="M76" s="3" t="s">
        <v>303</v>
      </c>
      <c r="N76" s="8" t="str">
        <f>HYPERLINK("http://slimages.macys.com/is/image/MCY/14429269 ")</f>
        <v xml:space="preserve">http://slimages.macys.com/is/image/MCY/14429269 </v>
      </c>
    </row>
    <row r="77" spans="1:14" ht="144" x14ac:dyDescent="0.25">
      <c r="A77" s="7" t="s">
        <v>333</v>
      </c>
      <c r="B77" s="3" t="s">
        <v>334</v>
      </c>
      <c r="C77" s="4">
        <v>1</v>
      </c>
      <c r="D77" s="5">
        <v>41.84</v>
      </c>
      <c r="E77" s="5">
        <v>150.99</v>
      </c>
      <c r="F77" s="4" t="s">
        <v>335</v>
      </c>
      <c r="G77" s="3" t="s">
        <v>336</v>
      </c>
      <c r="H77" s="7"/>
      <c r="I77" s="5">
        <v>20.92</v>
      </c>
      <c r="J77" s="3" t="s">
        <v>47</v>
      </c>
      <c r="K77" s="3" t="s">
        <v>48</v>
      </c>
      <c r="L77" s="3" t="s">
        <v>32</v>
      </c>
      <c r="M77" s="3" t="s">
        <v>337</v>
      </c>
      <c r="N77" s="8" t="str">
        <f>HYPERLINK("http://slimages.macys.com/is/image/MCY/13053328 ")</f>
        <v xml:space="preserve">http://slimages.macys.com/is/image/MCY/13053328 </v>
      </c>
    </row>
    <row r="78" spans="1:14" ht="300" x14ac:dyDescent="0.25">
      <c r="A78" s="7" t="s">
        <v>338</v>
      </c>
      <c r="B78" s="3" t="s">
        <v>339</v>
      </c>
      <c r="C78" s="4">
        <v>1</v>
      </c>
      <c r="D78" s="5">
        <v>41.6</v>
      </c>
      <c r="E78" s="5">
        <v>140.99</v>
      </c>
      <c r="F78" s="4" t="s">
        <v>340</v>
      </c>
      <c r="G78" s="3" t="s">
        <v>114</v>
      </c>
      <c r="H78" s="7"/>
      <c r="I78" s="5">
        <v>20.8</v>
      </c>
      <c r="J78" s="3" t="s">
        <v>47</v>
      </c>
      <c r="K78" s="3" t="s">
        <v>48</v>
      </c>
      <c r="L78" s="3" t="s">
        <v>32</v>
      </c>
      <c r="M78" s="3" t="s">
        <v>341</v>
      </c>
      <c r="N78" s="8" t="str">
        <f>HYPERLINK("http://slimages.macys.com/is/image/MCY/12689726 ")</f>
        <v xml:space="preserve">http://slimages.macys.com/is/image/MCY/12689726 </v>
      </c>
    </row>
    <row r="79" spans="1:14" ht="48" x14ac:dyDescent="0.25">
      <c r="A79" s="7" t="s">
        <v>342</v>
      </c>
      <c r="B79" s="3" t="s">
        <v>343</v>
      </c>
      <c r="C79" s="4">
        <v>3</v>
      </c>
      <c r="D79" s="5">
        <v>40.950000000000003</v>
      </c>
      <c r="E79" s="5">
        <v>99.99</v>
      </c>
      <c r="F79" s="4" t="s">
        <v>344</v>
      </c>
      <c r="G79" s="3" t="s">
        <v>345</v>
      </c>
      <c r="H79" s="7" t="s">
        <v>185</v>
      </c>
      <c r="I79" s="5">
        <v>20.475000000000001</v>
      </c>
      <c r="J79" s="3" t="s">
        <v>186</v>
      </c>
      <c r="K79" s="3" t="s">
        <v>187</v>
      </c>
      <c r="L79" s="3" t="s">
        <v>32</v>
      </c>
      <c r="M79" s="3" t="s">
        <v>208</v>
      </c>
      <c r="N79" s="8" t="str">
        <f>HYPERLINK("http://slimages.macys.com/is/image/MCY/1177148 ")</f>
        <v xml:space="preserve">http://slimages.macys.com/is/image/MCY/1177148 </v>
      </c>
    </row>
    <row r="80" spans="1:14" ht="84" x14ac:dyDescent="0.25">
      <c r="A80" s="7" t="s">
        <v>346</v>
      </c>
      <c r="B80" s="3" t="s">
        <v>347</v>
      </c>
      <c r="C80" s="4">
        <v>2</v>
      </c>
      <c r="D80" s="5">
        <v>40.659999999999997</v>
      </c>
      <c r="E80" s="5">
        <v>159.99</v>
      </c>
      <c r="F80" s="4" t="s">
        <v>348</v>
      </c>
      <c r="G80" s="3" t="s">
        <v>59</v>
      </c>
      <c r="H80" s="7" t="s">
        <v>349</v>
      </c>
      <c r="I80" s="5">
        <v>20.330000000000002</v>
      </c>
      <c r="J80" s="3" t="s">
        <v>320</v>
      </c>
      <c r="K80" s="3" t="s">
        <v>350</v>
      </c>
      <c r="L80" s="3" t="s">
        <v>32</v>
      </c>
      <c r="M80" s="3" t="s">
        <v>351</v>
      </c>
      <c r="N80" s="8" t="str">
        <f>HYPERLINK("http://slimages.macys.com/is/image/MCY/10264821 ")</f>
        <v xml:space="preserve">http://slimages.macys.com/is/image/MCY/10264821 </v>
      </c>
    </row>
    <row r="81" spans="1:14" ht="204" x14ac:dyDescent="0.25">
      <c r="A81" s="7" t="s">
        <v>352</v>
      </c>
      <c r="B81" s="3" t="s">
        <v>353</v>
      </c>
      <c r="C81" s="4">
        <v>1</v>
      </c>
      <c r="D81" s="5">
        <v>40.65</v>
      </c>
      <c r="E81" s="5">
        <v>111.99</v>
      </c>
      <c r="F81" s="4" t="s">
        <v>354</v>
      </c>
      <c r="G81" s="3" t="s">
        <v>109</v>
      </c>
      <c r="H81" s="7"/>
      <c r="I81" s="5">
        <v>20.325000000000003</v>
      </c>
      <c r="J81" s="3" t="s">
        <v>47</v>
      </c>
      <c r="K81" s="3" t="s">
        <v>355</v>
      </c>
      <c r="L81" s="3" t="s">
        <v>32</v>
      </c>
      <c r="M81" s="3" t="s">
        <v>356</v>
      </c>
      <c r="N81" s="8" t="str">
        <f>HYPERLINK("http://slimages.macys.com/is/image/MCY/10005635 ")</f>
        <v xml:space="preserve">http://slimages.macys.com/is/image/MCY/10005635 </v>
      </c>
    </row>
    <row r="82" spans="1:14" ht="48" x14ac:dyDescent="0.25">
      <c r="A82" s="7" t="s">
        <v>357</v>
      </c>
      <c r="B82" s="3" t="s">
        <v>358</v>
      </c>
      <c r="C82" s="4">
        <v>4</v>
      </c>
      <c r="D82" s="5">
        <v>40.5</v>
      </c>
      <c r="E82" s="5">
        <v>99.99</v>
      </c>
      <c r="F82" s="4" t="s">
        <v>359</v>
      </c>
      <c r="G82" s="3" t="s">
        <v>29</v>
      </c>
      <c r="H82" s="7" t="s">
        <v>360</v>
      </c>
      <c r="I82" s="5">
        <v>20.25</v>
      </c>
      <c r="J82" s="3" t="s">
        <v>30</v>
      </c>
      <c r="K82" s="3" t="s">
        <v>31</v>
      </c>
      <c r="L82" s="3" t="s">
        <v>32</v>
      </c>
      <c r="M82" s="3"/>
      <c r="N82" s="8" t="str">
        <f>HYPERLINK("http://slimages.macys.com/is/image/MCY/8843475 ")</f>
        <v xml:space="preserve">http://slimages.macys.com/is/image/MCY/8843475 </v>
      </c>
    </row>
    <row r="83" spans="1:14" ht="48" x14ac:dyDescent="0.25">
      <c r="A83" s="7" t="s">
        <v>361</v>
      </c>
      <c r="B83" s="3" t="s">
        <v>362</v>
      </c>
      <c r="C83" s="4">
        <v>1</v>
      </c>
      <c r="D83" s="5">
        <v>40</v>
      </c>
      <c r="E83" s="5">
        <v>117.99</v>
      </c>
      <c r="F83" s="4" t="s">
        <v>363</v>
      </c>
      <c r="G83" s="3" t="s">
        <v>137</v>
      </c>
      <c r="H83" s="7"/>
      <c r="I83" s="5">
        <v>20</v>
      </c>
      <c r="J83" s="3" t="s">
        <v>47</v>
      </c>
      <c r="K83" s="3" t="s">
        <v>364</v>
      </c>
      <c r="L83" s="3" t="s">
        <v>32</v>
      </c>
      <c r="M83" s="3" t="s">
        <v>365</v>
      </c>
      <c r="N83" s="8" t="str">
        <f>HYPERLINK("http://slimages.macys.com/is/image/MCY/15746171 ")</f>
        <v xml:space="preserve">http://slimages.macys.com/is/image/MCY/15746171 </v>
      </c>
    </row>
    <row r="84" spans="1:14" ht="60" x14ac:dyDescent="0.25">
      <c r="A84" s="7" t="s">
        <v>366</v>
      </c>
      <c r="B84" s="3" t="s">
        <v>367</v>
      </c>
      <c r="C84" s="4">
        <v>1</v>
      </c>
      <c r="D84" s="5">
        <v>39.79</v>
      </c>
      <c r="E84" s="5">
        <v>109.99</v>
      </c>
      <c r="F84" s="4" t="s">
        <v>368</v>
      </c>
      <c r="G84" s="3" t="s">
        <v>114</v>
      </c>
      <c r="H84" s="7"/>
      <c r="I84" s="5">
        <v>19.895</v>
      </c>
      <c r="J84" s="3" t="s">
        <v>100</v>
      </c>
      <c r="K84" s="3" t="s">
        <v>101</v>
      </c>
      <c r="L84" s="3" t="s">
        <v>32</v>
      </c>
      <c r="M84" s="3"/>
      <c r="N84" s="8" t="str">
        <f>HYPERLINK("http://slimages.macys.com/is/image/MCY/16093918 ")</f>
        <v xml:space="preserve">http://slimages.macys.com/is/image/MCY/16093918 </v>
      </c>
    </row>
    <row r="85" spans="1:14" ht="84" x14ac:dyDescent="0.25">
      <c r="A85" s="7" t="s">
        <v>369</v>
      </c>
      <c r="B85" s="3" t="s">
        <v>370</v>
      </c>
      <c r="C85" s="4">
        <v>1</v>
      </c>
      <c r="D85" s="5">
        <v>33.99</v>
      </c>
      <c r="E85" s="5">
        <v>66.989999999999995</v>
      </c>
      <c r="F85" s="4" t="s">
        <v>371</v>
      </c>
      <c r="G85" s="3" t="s">
        <v>109</v>
      </c>
      <c r="H85" s="7"/>
      <c r="I85" s="5">
        <v>19.827500000000001</v>
      </c>
      <c r="J85" s="3" t="s">
        <v>80</v>
      </c>
      <c r="K85" s="3" t="s">
        <v>48</v>
      </c>
      <c r="L85" s="3" t="s">
        <v>32</v>
      </c>
      <c r="M85" s="3" t="s">
        <v>372</v>
      </c>
      <c r="N85" s="8" t="str">
        <f>HYPERLINK("http://slimages.macys.com/is/image/MCY/9775066 ")</f>
        <v xml:space="preserve">http://slimages.macys.com/is/image/MCY/9775066 </v>
      </c>
    </row>
    <row r="86" spans="1:14" ht="60" x14ac:dyDescent="0.25">
      <c r="A86" s="7" t="s">
        <v>373</v>
      </c>
      <c r="B86" s="3" t="s">
        <v>374</v>
      </c>
      <c r="C86" s="4">
        <v>1</v>
      </c>
      <c r="D86" s="5">
        <v>33.700000000000003</v>
      </c>
      <c r="E86" s="5">
        <v>89.99</v>
      </c>
      <c r="F86" s="4" t="s">
        <v>375</v>
      </c>
      <c r="G86" s="3" t="s">
        <v>29</v>
      </c>
      <c r="H86" s="7"/>
      <c r="I86" s="5">
        <v>19.658333333333335</v>
      </c>
      <c r="J86" s="3" t="s">
        <v>80</v>
      </c>
      <c r="K86" s="3" t="s">
        <v>48</v>
      </c>
      <c r="L86" s="3" t="s">
        <v>32</v>
      </c>
      <c r="M86" s="3" t="s">
        <v>376</v>
      </c>
      <c r="N86" s="8" t="str">
        <f>HYPERLINK("http://slimages.macys.com/is/image/MCY/9566767 ")</f>
        <v xml:space="preserve">http://slimages.macys.com/is/image/MCY/9566767 </v>
      </c>
    </row>
    <row r="87" spans="1:14" ht="48" x14ac:dyDescent="0.25">
      <c r="A87" s="7" t="s">
        <v>377</v>
      </c>
      <c r="B87" s="3" t="s">
        <v>378</v>
      </c>
      <c r="C87" s="4">
        <v>1</v>
      </c>
      <c r="D87" s="5">
        <v>31.71</v>
      </c>
      <c r="E87" s="5">
        <v>74.989999999999995</v>
      </c>
      <c r="F87" s="4" t="s">
        <v>379</v>
      </c>
      <c r="G87" s="3" t="s">
        <v>29</v>
      </c>
      <c r="H87" s="7"/>
      <c r="I87" s="5">
        <v>19.554500000000001</v>
      </c>
      <c r="J87" s="3" t="s">
        <v>380</v>
      </c>
      <c r="K87" s="3" t="s">
        <v>48</v>
      </c>
      <c r="L87" s="3" t="s">
        <v>32</v>
      </c>
      <c r="M87" s="3" t="s">
        <v>208</v>
      </c>
      <c r="N87" s="8" t="str">
        <f>HYPERLINK("http://slimages.macys.com/is/image/MCY/10082468 ")</f>
        <v xml:space="preserve">http://slimages.macys.com/is/image/MCY/10082468 </v>
      </c>
    </row>
    <row r="88" spans="1:14" ht="48" x14ac:dyDescent="0.25">
      <c r="A88" s="7" t="s">
        <v>381</v>
      </c>
      <c r="B88" s="3" t="s">
        <v>382</v>
      </c>
      <c r="C88" s="4">
        <v>1</v>
      </c>
      <c r="D88" s="5">
        <v>39</v>
      </c>
      <c r="E88" s="5">
        <v>97.99</v>
      </c>
      <c r="F88" s="4" t="s">
        <v>383</v>
      </c>
      <c r="G88" s="3" t="s">
        <v>336</v>
      </c>
      <c r="H88" s="7"/>
      <c r="I88" s="5">
        <v>19.5</v>
      </c>
      <c r="J88" s="3" t="s">
        <v>47</v>
      </c>
      <c r="K88" s="3" t="s">
        <v>384</v>
      </c>
      <c r="L88" s="3"/>
      <c r="M88" s="3"/>
      <c r="N88" s="8" t="str">
        <f>HYPERLINK("http://slimages.macys.com/is/image/MCY/17574322 ")</f>
        <v xml:space="preserve">http://slimages.macys.com/is/image/MCY/17574322 </v>
      </c>
    </row>
    <row r="89" spans="1:14" ht="48" x14ac:dyDescent="0.25">
      <c r="A89" s="7" t="s">
        <v>385</v>
      </c>
      <c r="B89" s="3" t="s">
        <v>386</v>
      </c>
      <c r="C89" s="4">
        <v>1</v>
      </c>
      <c r="D89" s="5">
        <v>31.81</v>
      </c>
      <c r="E89" s="5">
        <v>109.99</v>
      </c>
      <c r="F89" s="4" t="s">
        <v>387</v>
      </c>
      <c r="G89" s="3" t="s">
        <v>388</v>
      </c>
      <c r="H89" s="7"/>
      <c r="I89" s="5">
        <v>18.555833333333332</v>
      </c>
      <c r="J89" s="3" t="s">
        <v>80</v>
      </c>
      <c r="K89" s="3" t="s">
        <v>389</v>
      </c>
      <c r="L89" s="3" t="s">
        <v>32</v>
      </c>
      <c r="M89" s="3" t="s">
        <v>208</v>
      </c>
      <c r="N89" s="8" t="str">
        <f>HYPERLINK("http://slimages.macys.com/is/image/MCY/3036631 ")</f>
        <v xml:space="preserve">http://slimages.macys.com/is/image/MCY/3036631 </v>
      </c>
    </row>
    <row r="90" spans="1:14" ht="84" x14ac:dyDescent="0.25">
      <c r="A90" s="7" t="s">
        <v>390</v>
      </c>
      <c r="B90" s="3" t="s">
        <v>391</v>
      </c>
      <c r="C90" s="4">
        <v>1</v>
      </c>
      <c r="D90" s="5">
        <v>37</v>
      </c>
      <c r="E90" s="5">
        <v>108.99</v>
      </c>
      <c r="F90" s="4" t="s">
        <v>392</v>
      </c>
      <c r="G90" s="3" t="s">
        <v>393</v>
      </c>
      <c r="H90" s="7"/>
      <c r="I90" s="5">
        <v>18.5</v>
      </c>
      <c r="J90" s="3" t="s">
        <v>47</v>
      </c>
      <c r="K90" s="3" t="s">
        <v>394</v>
      </c>
      <c r="L90" s="3" t="s">
        <v>32</v>
      </c>
      <c r="M90" s="3" t="s">
        <v>395</v>
      </c>
      <c r="N90" s="8" t="str">
        <f>HYPERLINK("http://slimages.macys.com/is/image/MCY/10434182 ")</f>
        <v xml:space="preserve">http://slimages.macys.com/is/image/MCY/10434182 </v>
      </c>
    </row>
    <row r="91" spans="1:14" ht="48" x14ac:dyDescent="0.25">
      <c r="A91" s="7" t="s">
        <v>396</v>
      </c>
      <c r="B91" s="3" t="s">
        <v>397</v>
      </c>
      <c r="C91" s="4">
        <v>1</v>
      </c>
      <c r="D91" s="5">
        <v>36.590000000000003</v>
      </c>
      <c r="E91" s="5">
        <v>89.99</v>
      </c>
      <c r="F91" s="4" t="s">
        <v>398</v>
      </c>
      <c r="G91" s="3"/>
      <c r="H91" s="7"/>
      <c r="I91" s="5">
        <v>18.295000000000002</v>
      </c>
      <c r="J91" s="3" t="s">
        <v>47</v>
      </c>
      <c r="K91" s="3" t="s">
        <v>355</v>
      </c>
      <c r="L91" s="3" t="s">
        <v>32</v>
      </c>
      <c r="M91" s="3" t="s">
        <v>208</v>
      </c>
      <c r="N91" s="8" t="str">
        <f>HYPERLINK("http://slimages.macys.com/is/image/MCY/8962717 ")</f>
        <v xml:space="preserve">http://slimages.macys.com/is/image/MCY/8962717 </v>
      </c>
    </row>
    <row r="92" spans="1:14" ht="48" x14ac:dyDescent="0.25">
      <c r="A92" s="7" t="s">
        <v>399</v>
      </c>
      <c r="B92" s="3" t="s">
        <v>400</v>
      </c>
      <c r="C92" s="4">
        <v>1</v>
      </c>
      <c r="D92" s="5">
        <v>36</v>
      </c>
      <c r="E92" s="5">
        <v>79.989999999999995</v>
      </c>
      <c r="F92" s="4" t="s">
        <v>401</v>
      </c>
      <c r="G92" s="3"/>
      <c r="H92" s="7"/>
      <c r="I92" s="5">
        <v>18.000000000000004</v>
      </c>
      <c r="J92" s="3" t="s">
        <v>47</v>
      </c>
      <c r="K92" s="3" t="s">
        <v>48</v>
      </c>
      <c r="L92" s="3" t="s">
        <v>32</v>
      </c>
      <c r="M92" s="3" t="s">
        <v>188</v>
      </c>
      <c r="N92" s="8" t="str">
        <f>HYPERLINK("http://slimages.macys.com/is/image/MCY/15503115 ")</f>
        <v xml:space="preserve">http://slimages.macys.com/is/image/MCY/15503115 </v>
      </c>
    </row>
    <row r="93" spans="1:14" ht="48" x14ac:dyDescent="0.25">
      <c r="A93" s="7" t="s">
        <v>402</v>
      </c>
      <c r="B93" s="3" t="s">
        <v>403</v>
      </c>
      <c r="C93" s="4">
        <v>1</v>
      </c>
      <c r="D93" s="5">
        <v>35.75</v>
      </c>
      <c r="E93" s="5">
        <v>93.99</v>
      </c>
      <c r="F93" s="4" t="s">
        <v>404</v>
      </c>
      <c r="G93" s="3"/>
      <c r="H93" s="7"/>
      <c r="I93" s="5">
        <v>17.875</v>
      </c>
      <c r="J93" s="3" t="s">
        <v>47</v>
      </c>
      <c r="K93" s="3" t="s">
        <v>405</v>
      </c>
      <c r="L93" s="3" t="s">
        <v>32</v>
      </c>
      <c r="M93" s="3" t="s">
        <v>406</v>
      </c>
      <c r="N93" s="8" t="str">
        <f>HYPERLINK("http://slimages.macys.com/is/image/MCY/10890738 ")</f>
        <v xml:space="preserve">http://slimages.macys.com/is/image/MCY/10890738 </v>
      </c>
    </row>
    <row r="94" spans="1:14" ht="48" x14ac:dyDescent="0.25">
      <c r="A94" s="7" t="s">
        <v>407</v>
      </c>
      <c r="B94" s="3" t="s">
        <v>408</v>
      </c>
      <c r="C94" s="4">
        <v>1</v>
      </c>
      <c r="D94" s="5">
        <v>34.5</v>
      </c>
      <c r="E94" s="5">
        <v>83.99</v>
      </c>
      <c r="F94" s="4" t="s">
        <v>409</v>
      </c>
      <c r="G94" s="3" t="s">
        <v>410</v>
      </c>
      <c r="H94" s="7"/>
      <c r="I94" s="5">
        <v>17.25</v>
      </c>
      <c r="J94" s="3" t="s">
        <v>47</v>
      </c>
      <c r="K94" s="3" t="s">
        <v>311</v>
      </c>
      <c r="L94" s="3" t="s">
        <v>32</v>
      </c>
      <c r="M94" s="3" t="s">
        <v>411</v>
      </c>
      <c r="N94" s="8" t="str">
        <f>HYPERLINK("http://slimages.macys.com/is/image/MCY/14516483 ")</f>
        <v xml:space="preserve">http://slimages.macys.com/is/image/MCY/14516483 </v>
      </c>
    </row>
    <row r="95" spans="1:14" ht="48" x14ac:dyDescent="0.25">
      <c r="A95" s="7" t="s">
        <v>412</v>
      </c>
      <c r="B95" s="3" t="s">
        <v>413</v>
      </c>
      <c r="C95" s="4">
        <v>1</v>
      </c>
      <c r="D95" s="5">
        <v>29.57</v>
      </c>
      <c r="E95" s="5">
        <v>99.99</v>
      </c>
      <c r="F95" s="4" t="s">
        <v>414</v>
      </c>
      <c r="G95" s="3" t="s">
        <v>252</v>
      </c>
      <c r="H95" s="7"/>
      <c r="I95" s="5">
        <v>17.249166666666667</v>
      </c>
      <c r="J95" s="3" t="s">
        <v>71</v>
      </c>
      <c r="K95" s="3" t="s">
        <v>415</v>
      </c>
      <c r="L95" s="3" t="s">
        <v>32</v>
      </c>
      <c r="M95" s="3"/>
      <c r="N95" s="8" t="str">
        <f>HYPERLINK("http://slimages.macys.com/is/image/MCY/10035084 ")</f>
        <v xml:space="preserve">http://slimages.macys.com/is/image/MCY/10035084 </v>
      </c>
    </row>
    <row r="96" spans="1:14" ht="48" x14ac:dyDescent="0.25">
      <c r="A96" s="7" t="s">
        <v>416</v>
      </c>
      <c r="B96" s="3" t="s">
        <v>417</v>
      </c>
      <c r="C96" s="4">
        <v>1</v>
      </c>
      <c r="D96" s="5">
        <v>34.29</v>
      </c>
      <c r="E96" s="5">
        <v>99.99</v>
      </c>
      <c r="F96" s="4" t="s">
        <v>418</v>
      </c>
      <c r="G96" s="3" t="s">
        <v>53</v>
      </c>
      <c r="H96" s="7"/>
      <c r="I96" s="5">
        <v>17.145000000000003</v>
      </c>
      <c r="J96" s="3" t="s">
        <v>419</v>
      </c>
      <c r="K96" s="3" t="s">
        <v>420</v>
      </c>
      <c r="L96" s="3"/>
      <c r="M96" s="3"/>
      <c r="N96" s="8" t="str">
        <f>HYPERLINK("http://slimages.macys.com/is/image/MCY/17885674 ")</f>
        <v xml:space="preserve">http://slimages.macys.com/is/image/MCY/17885674 </v>
      </c>
    </row>
    <row r="97" spans="1:14" ht="120" x14ac:dyDescent="0.25">
      <c r="A97" s="7" t="s">
        <v>421</v>
      </c>
      <c r="B97" s="3" t="s">
        <v>422</v>
      </c>
      <c r="C97" s="4">
        <v>2</v>
      </c>
      <c r="D97" s="5">
        <v>29.06</v>
      </c>
      <c r="E97" s="5">
        <v>60.99</v>
      </c>
      <c r="F97" s="4" t="s">
        <v>423</v>
      </c>
      <c r="G97" s="3" t="s">
        <v>114</v>
      </c>
      <c r="H97" s="7"/>
      <c r="I97" s="5">
        <v>16.951666666666668</v>
      </c>
      <c r="J97" s="3" t="s">
        <v>80</v>
      </c>
      <c r="K97" s="3" t="s">
        <v>48</v>
      </c>
      <c r="L97" s="3" t="s">
        <v>32</v>
      </c>
      <c r="M97" s="3" t="s">
        <v>424</v>
      </c>
      <c r="N97" s="8" t="str">
        <f>HYPERLINK("http://slimages.macys.com/is/image/MCY/12071108 ")</f>
        <v xml:space="preserve">http://slimages.macys.com/is/image/MCY/12071108 </v>
      </c>
    </row>
    <row r="98" spans="1:14" ht="312" x14ac:dyDescent="0.25">
      <c r="A98" s="7" t="s">
        <v>425</v>
      </c>
      <c r="B98" s="3" t="s">
        <v>426</v>
      </c>
      <c r="C98" s="4">
        <v>1</v>
      </c>
      <c r="D98" s="5">
        <v>33.89</v>
      </c>
      <c r="E98" s="5">
        <v>79.989999999999995</v>
      </c>
      <c r="F98" s="4" t="s">
        <v>427</v>
      </c>
      <c r="G98" s="3" t="s">
        <v>336</v>
      </c>
      <c r="H98" s="7"/>
      <c r="I98" s="5">
        <v>16.945</v>
      </c>
      <c r="J98" s="3" t="s">
        <v>47</v>
      </c>
      <c r="K98" s="3" t="s">
        <v>48</v>
      </c>
      <c r="L98" s="3" t="s">
        <v>32</v>
      </c>
      <c r="M98" s="3" t="s">
        <v>428</v>
      </c>
      <c r="N98" s="8" t="str">
        <f>HYPERLINK("http://slimages.macys.com/is/image/MCY/8927467 ")</f>
        <v xml:space="preserve">http://slimages.macys.com/is/image/MCY/8927467 </v>
      </c>
    </row>
    <row r="99" spans="1:14" ht="60" x14ac:dyDescent="0.25">
      <c r="A99" s="7" t="s">
        <v>429</v>
      </c>
      <c r="B99" s="3" t="s">
        <v>430</v>
      </c>
      <c r="C99" s="4">
        <v>2</v>
      </c>
      <c r="D99" s="5">
        <v>33.229999999999997</v>
      </c>
      <c r="E99" s="5">
        <v>99.99</v>
      </c>
      <c r="F99" s="4" t="s">
        <v>431</v>
      </c>
      <c r="G99" s="3" t="s">
        <v>59</v>
      </c>
      <c r="H99" s="7"/>
      <c r="I99" s="5">
        <v>16.614999999999998</v>
      </c>
      <c r="J99" s="3" t="s">
        <v>100</v>
      </c>
      <c r="K99" s="3" t="s">
        <v>101</v>
      </c>
      <c r="L99" s="3"/>
      <c r="M99" s="3"/>
      <c r="N99" s="8" t="str">
        <f>HYPERLINK("http://slimages.macys.com/is/image/MCY/17050009 ")</f>
        <v xml:space="preserve">http://slimages.macys.com/is/image/MCY/17050009 </v>
      </c>
    </row>
    <row r="100" spans="1:14" ht="48" x14ac:dyDescent="0.25">
      <c r="A100" s="7" t="s">
        <v>432</v>
      </c>
      <c r="B100" s="3" t="s">
        <v>433</v>
      </c>
      <c r="C100" s="4">
        <v>1</v>
      </c>
      <c r="D100" s="5">
        <v>33</v>
      </c>
      <c r="E100" s="5">
        <v>107.99</v>
      </c>
      <c r="F100" s="4" t="s">
        <v>434</v>
      </c>
      <c r="G100" s="3" t="s">
        <v>114</v>
      </c>
      <c r="H100" s="7"/>
      <c r="I100" s="5">
        <v>16.5</v>
      </c>
      <c r="J100" s="3" t="s">
        <v>47</v>
      </c>
      <c r="K100" s="3" t="s">
        <v>311</v>
      </c>
      <c r="L100" s="3" t="s">
        <v>32</v>
      </c>
      <c r="M100" s="3" t="s">
        <v>435</v>
      </c>
      <c r="N100" s="8" t="str">
        <f>HYPERLINK("http://slimages.macys.com/is/image/MCY/14540101 ")</f>
        <v xml:space="preserve">http://slimages.macys.com/is/image/MCY/14540101 </v>
      </c>
    </row>
    <row r="101" spans="1:14" ht="48" x14ac:dyDescent="0.25">
      <c r="A101" s="7" t="s">
        <v>436</v>
      </c>
      <c r="B101" s="3" t="s">
        <v>437</v>
      </c>
      <c r="C101" s="4">
        <v>1</v>
      </c>
      <c r="D101" s="5">
        <v>28.19</v>
      </c>
      <c r="E101" s="5">
        <v>70.989999999999995</v>
      </c>
      <c r="F101" s="4">
        <v>47514</v>
      </c>
      <c r="G101" s="3" t="s">
        <v>114</v>
      </c>
      <c r="H101" s="7"/>
      <c r="I101" s="5">
        <v>16.444166666666668</v>
      </c>
      <c r="J101" s="3" t="s">
        <v>116</v>
      </c>
      <c r="K101" s="3" t="s">
        <v>438</v>
      </c>
      <c r="L101" s="3" t="s">
        <v>32</v>
      </c>
      <c r="M101" s="3" t="s">
        <v>439</v>
      </c>
      <c r="N101" s="8" t="str">
        <f>HYPERLINK("http://slimages.macys.com/is/image/MCY/14370956 ")</f>
        <v xml:space="preserve">http://slimages.macys.com/is/image/MCY/14370956 </v>
      </c>
    </row>
    <row r="102" spans="1:14" ht="84" x14ac:dyDescent="0.25">
      <c r="A102" s="7" t="s">
        <v>440</v>
      </c>
      <c r="B102" s="3" t="s">
        <v>441</v>
      </c>
      <c r="C102" s="4">
        <v>1</v>
      </c>
      <c r="D102" s="5">
        <v>32.67</v>
      </c>
      <c r="E102" s="5">
        <v>97.99</v>
      </c>
      <c r="F102" s="4" t="s">
        <v>442</v>
      </c>
      <c r="G102" s="3" t="s">
        <v>29</v>
      </c>
      <c r="H102" s="7"/>
      <c r="I102" s="5">
        <v>16.335000000000001</v>
      </c>
      <c r="J102" s="3" t="s">
        <v>47</v>
      </c>
      <c r="K102" s="3" t="s">
        <v>443</v>
      </c>
      <c r="L102" s="3" t="s">
        <v>32</v>
      </c>
      <c r="M102" s="3" t="s">
        <v>444</v>
      </c>
      <c r="N102" s="8" t="str">
        <f>HYPERLINK("http://slimages.macys.com/is/image/MCY/10143466 ")</f>
        <v xml:space="preserve">http://slimages.macys.com/is/image/MCY/10143466 </v>
      </c>
    </row>
    <row r="103" spans="1:14" ht="108" x14ac:dyDescent="0.25">
      <c r="A103" s="7" t="s">
        <v>445</v>
      </c>
      <c r="B103" s="3" t="s">
        <v>446</v>
      </c>
      <c r="C103" s="4">
        <v>1</v>
      </c>
      <c r="D103" s="5">
        <v>32.39</v>
      </c>
      <c r="E103" s="5">
        <v>119.99</v>
      </c>
      <c r="F103" s="4" t="s">
        <v>447</v>
      </c>
      <c r="G103" s="3" t="s">
        <v>205</v>
      </c>
      <c r="H103" s="7"/>
      <c r="I103" s="5">
        <v>16.195</v>
      </c>
      <c r="J103" s="3" t="s">
        <v>65</v>
      </c>
      <c r="K103" s="3" t="s">
        <v>307</v>
      </c>
      <c r="L103" s="3" t="s">
        <v>32</v>
      </c>
      <c r="M103" s="3" t="s">
        <v>448</v>
      </c>
      <c r="N103" s="8" t="str">
        <f>HYPERLINK("http://slimages.macys.com/is/image/MCY/13966619 ")</f>
        <v xml:space="preserve">http://slimages.macys.com/is/image/MCY/13966619 </v>
      </c>
    </row>
    <row r="104" spans="1:14" ht="48" x14ac:dyDescent="0.25">
      <c r="A104" s="7" t="s">
        <v>449</v>
      </c>
      <c r="B104" s="3" t="s">
        <v>450</v>
      </c>
      <c r="C104" s="4">
        <v>2</v>
      </c>
      <c r="D104" s="5">
        <v>31.58</v>
      </c>
      <c r="E104" s="5">
        <v>79.989999999999995</v>
      </c>
      <c r="F104" s="4">
        <v>10002473500</v>
      </c>
      <c r="G104" s="3" t="s">
        <v>64</v>
      </c>
      <c r="H104" s="7"/>
      <c r="I104" s="5">
        <v>15.790000000000001</v>
      </c>
      <c r="J104" s="3" t="s">
        <v>65</v>
      </c>
      <c r="K104" s="3" t="s">
        <v>66</v>
      </c>
      <c r="L104" s="3" t="s">
        <v>32</v>
      </c>
      <c r="M104" s="3"/>
      <c r="N104" s="8" t="str">
        <f>HYPERLINK("http://slimages.macys.com/is/image/MCY/9746274 ")</f>
        <v xml:space="preserve">http://slimages.macys.com/is/image/MCY/9746274 </v>
      </c>
    </row>
    <row r="105" spans="1:14" ht="48" x14ac:dyDescent="0.25">
      <c r="A105" s="7" t="s">
        <v>449</v>
      </c>
      <c r="B105" s="3" t="s">
        <v>450</v>
      </c>
      <c r="C105" s="4">
        <v>1</v>
      </c>
      <c r="D105" s="5">
        <v>31.58</v>
      </c>
      <c r="E105" s="5">
        <v>79.989999999999995</v>
      </c>
      <c r="F105" s="4">
        <v>10002473500</v>
      </c>
      <c r="G105" s="3" t="s">
        <v>64</v>
      </c>
      <c r="H105" s="7"/>
      <c r="I105" s="5">
        <v>15.790000000000001</v>
      </c>
      <c r="J105" s="3" t="s">
        <v>65</v>
      </c>
      <c r="K105" s="3" t="s">
        <v>66</v>
      </c>
      <c r="L105" s="3" t="s">
        <v>32</v>
      </c>
      <c r="M105" s="3"/>
      <c r="N105" s="8" t="str">
        <f>HYPERLINK("http://slimages.macys.com/is/image/MCY/9746274 ")</f>
        <v xml:space="preserve">http://slimages.macys.com/is/image/MCY/9746274 </v>
      </c>
    </row>
    <row r="106" spans="1:14" ht="48" x14ac:dyDescent="0.25">
      <c r="A106" s="7" t="s">
        <v>451</v>
      </c>
      <c r="B106" s="3" t="s">
        <v>452</v>
      </c>
      <c r="C106" s="4">
        <v>1</v>
      </c>
      <c r="D106" s="5">
        <v>31.5</v>
      </c>
      <c r="E106" s="5">
        <v>69.989999999999995</v>
      </c>
      <c r="F106" s="4">
        <v>600657358001</v>
      </c>
      <c r="G106" s="3" t="s">
        <v>114</v>
      </c>
      <c r="H106" s="7" t="s">
        <v>453</v>
      </c>
      <c r="I106" s="5">
        <v>15.75</v>
      </c>
      <c r="J106" s="3" t="s">
        <v>37</v>
      </c>
      <c r="K106" s="3" t="s">
        <v>38</v>
      </c>
      <c r="L106" s="3" t="s">
        <v>32</v>
      </c>
      <c r="M106" s="3" t="s">
        <v>303</v>
      </c>
      <c r="N106" s="8" t="str">
        <f>HYPERLINK("http://slimages.macys.com/is/image/MCY/8618652 ")</f>
        <v xml:space="preserve">http://slimages.macys.com/is/image/MCY/8618652 </v>
      </c>
    </row>
    <row r="107" spans="1:14" ht="48" x14ac:dyDescent="0.25">
      <c r="A107" s="7" t="s">
        <v>454</v>
      </c>
      <c r="B107" s="3" t="s">
        <v>455</v>
      </c>
      <c r="C107" s="4">
        <v>1</v>
      </c>
      <c r="D107" s="5">
        <v>25</v>
      </c>
      <c r="E107" s="5">
        <v>54.99</v>
      </c>
      <c r="F107" s="4" t="s">
        <v>456</v>
      </c>
      <c r="G107" s="3" t="s">
        <v>457</v>
      </c>
      <c r="H107" s="7"/>
      <c r="I107" s="5">
        <v>15.416666666666668</v>
      </c>
      <c r="J107" s="3" t="s">
        <v>380</v>
      </c>
      <c r="K107" s="3" t="s">
        <v>458</v>
      </c>
      <c r="L107" s="3" t="s">
        <v>32</v>
      </c>
      <c r="M107" s="3" t="s">
        <v>459</v>
      </c>
      <c r="N107" s="8" t="str">
        <f>HYPERLINK("http://slimages.macys.com/is/image/MCY/11282617 ")</f>
        <v xml:space="preserve">http://slimages.macys.com/is/image/MCY/11282617 </v>
      </c>
    </row>
    <row r="108" spans="1:14" ht="60" x14ac:dyDescent="0.25">
      <c r="A108" s="7" t="s">
        <v>460</v>
      </c>
      <c r="B108" s="3" t="s">
        <v>461</v>
      </c>
      <c r="C108" s="4">
        <v>1</v>
      </c>
      <c r="D108" s="5">
        <v>30.62</v>
      </c>
      <c r="E108" s="5">
        <v>79.989999999999995</v>
      </c>
      <c r="F108" s="4" t="s">
        <v>462</v>
      </c>
      <c r="G108" s="3" t="s">
        <v>180</v>
      </c>
      <c r="H108" s="7"/>
      <c r="I108" s="5">
        <v>15.31</v>
      </c>
      <c r="J108" s="3" t="s">
        <v>65</v>
      </c>
      <c r="K108" s="3" t="s">
        <v>277</v>
      </c>
      <c r="L108" s="3" t="s">
        <v>32</v>
      </c>
      <c r="M108" s="3"/>
      <c r="N108" s="8" t="str">
        <f>HYPERLINK("http://slimages.macys.com/is/image/MCY/13042583 ")</f>
        <v xml:space="preserve">http://slimages.macys.com/is/image/MCY/13042583 </v>
      </c>
    </row>
    <row r="109" spans="1:14" ht="48" x14ac:dyDescent="0.25">
      <c r="A109" s="7" t="s">
        <v>463</v>
      </c>
      <c r="B109" s="3" t="s">
        <v>464</v>
      </c>
      <c r="C109" s="4">
        <v>1</v>
      </c>
      <c r="D109" s="5">
        <v>30.5</v>
      </c>
      <c r="E109" s="5">
        <v>73.989999999999995</v>
      </c>
      <c r="F109" s="4" t="s">
        <v>465</v>
      </c>
      <c r="G109" s="3" t="s">
        <v>105</v>
      </c>
      <c r="H109" s="7"/>
      <c r="I109" s="5">
        <v>15.250000000000002</v>
      </c>
      <c r="J109" s="3" t="s">
        <v>47</v>
      </c>
      <c r="K109" s="3" t="s">
        <v>311</v>
      </c>
      <c r="L109" s="3" t="s">
        <v>32</v>
      </c>
      <c r="M109" s="3" t="s">
        <v>411</v>
      </c>
      <c r="N109" s="8" t="str">
        <f>HYPERLINK("http://slimages.macys.com/is/image/MCY/14540135 ")</f>
        <v xml:space="preserve">http://slimages.macys.com/is/image/MCY/14540135 </v>
      </c>
    </row>
    <row r="110" spans="1:14" ht="48" x14ac:dyDescent="0.25">
      <c r="A110" s="7" t="s">
        <v>466</v>
      </c>
      <c r="B110" s="3" t="s">
        <v>467</v>
      </c>
      <c r="C110" s="4">
        <v>1</v>
      </c>
      <c r="D110" s="5">
        <v>26.04</v>
      </c>
      <c r="E110" s="5">
        <v>93.99</v>
      </c>
      <c r="F110" s="4" t="s">
        <v>468</v>
      </c>
      <c r="G110" s="3" t="s">
        <v>154</v>
      </c>
      <c r="H110" s="7"/>
      <c r="I110" s="5">
        <v>15.190000000000001</v>
      </c>
      <c r="J110" s="3" t="s">
        <v>80</v>
      </c>
      <c r="K110" s="3" t="s">
        <v>48</v>
      </c>
      <c r="L110" s="3" t="s">
        <v>32</v>
      </c>
      <c r="M110" s="3" t="s">
        <v>208</v>
      </c>
      <c r="N110" s="8" t="str">
        <f>HYPERLINK("http://slimages.macys.com/is/image/MCY/11825072 ")</f>
        <v xml:space="preserve">http://slimages.macys.com/is/image/MCY/11825072 </v>
      </c>
    </row>
    <row r="111" spans="1:14" ht="48" x14ac:dyDescent="0.25">
      <c r="A111" s="7" t="s">
        <v>469</v>
      </c>
      <c r="B111" s="3" t="s">
        <v>470</v>
      </c>
      <c r="C111" s="4">
        <v>2</v>
      </c>
      <c r="D111" s="5">
        <v>25.92</v>
      </c>
      <c r="E111" s="5">
        <v>58.99</v>
      </c>
      <c r="F111" s="4" t="s">
        <v>471</v>
      </c>
      <c r="G111" s="3" t="s">
        <v>36</v>
      </c>
      <c r="H111" s="7"/>
      <c r="I111" s="5">
        <v>15.12</v>
      </c>
      <c r="J111" s="3" t="s">
        <v>80</v>
      </c>
      <c r="K111" s="3" t="s">
        <v>48</v>
      </c>
      <c r="L111" s="3" t="s">
        <v>32</v>
      </c>
      <c r="M111" s="3" t="s">
        <v>472</v>
      </c>
      <c r="N111" s="8" t="str">
        <f>HYPERLINK("http://slimages.macys.com/is/image/MCY/9539688 ")</f>
        <v xml:space="preserve">http://slimages.macys.com/is/image/MCY/9539688 </v>
      </c>
    </row>
    <row r="112" spans="1:14" ht="60" x14ac:dyDescent="0.25">
      <c r="A112" s="7" t="s">
        <v>473</v>
      </c>
      <c r="B112" s="3" t="s">
        <v>474</v>
      </c>
      <c r="C112" s="4">
        <v>1</v>
      </c>
      <c r="D112" s="5">
        <v>30.1</v>
      </c>
      <c r="E112" s="5">
        <v>69.989999999999995</v>
      </c>
      <c r="F112" s="4" t="s">
        <v>475</v>
      </c>
      <c r="G112" s="3" t="s">
        <v>476</v>
      </c>
      <c r="H112" s="7" t="s">
        <v>285</v>
      </c>
      <c r="I112" s="5">
        <v>15.049999999999999</v>
      </c>
      <c r="J112" s="3" t="s">
        <v>65</v>
      </c>
      <c r="K112" s="3" t="s">
        <v>477</v>
      </c>
      <c r="L112" s="3" t="s">
        <v>32</v>
      </c>
      <c r="M112" s="3" t="s">
        <v>478</v>
      </c>
      <c r="N112" s="8" t="str">
        <f>HYPERLINK("http://slimages.macys.com/is/image/MCY/8179562 ")</f>
        <v xml:space="preserve">http://slimages.macys.com/is/image/MCY/8179562 </v>
      </c>
    </row>
    <row r="113" spans="1:14" ht="48" x14ac:dyDescent="0.25">
      <c r="A113" s="7" t="s">
        <v>479</v>
      </c>
      <c r="B113" s="3" t="s">
        <v>480</v>
      </c>
      <c r="C113" s="4">
        <v>1</v>
      </c>
      <c r="D113" s="5">
        <v>30</v>
      </c>
      <c r="E113" s="5">
        <v>250.99</v>
      </c>
      <c r="F113" s="4" t="s">
        <v>481</v>
      </c>
      <c r="G113" s="3" t="s">
        <v>319</v>
      </c>
      <c r="H113" s="7"/>
      <c r="I113" s="5">
        <v>15</v>
      </c>
      <c r="J113" s="3" t="s">
        <v>47</v>
      </c>
      <c r="K113" s="3" t="s">
        <v>482</v>
      </c>
      <c r="L113" s="3" t="s">
        <v>32</v>
      </c>
      <c r="M113" s="3" t="s">
        <v>303</v>
      </c>
      <c r="N113" s="8" t="str">
        <f>HYPERLINK("http://slimages.macys.com/is/image/MCY/15301583 ")</f>
        <v xml:space="preserve">http://slimages.macys.com/is/image/MCY/15301583 </v>
      </c>
    </row>
    <row r="114" spans="1:14" ht="156" x14ac:dyDescent="0.25">
      <c r="A114" s="7" t="s">
        <v>483</v>
      </c>
      <c r="B114" s="3" t="s">
        <v>484</v>
      </c>
      <c r="C114" s="4">
        <v>1</v>
      </c>
      <c r="D114" s="5">
        <v>25.62</v>
      </c>
      <c r="E114" s="5">
        <v>79.989999999999995</v>
      </c>
      <c r="F114" s="4" t="s">
        <v>485</v>
      </c>
      <c r="G114" s="3" t="s">
        <v>114</v>
      </c>
      <c r="H114" s="7" t="s">
        <v>486</v>
      </c>
      <c r="I114" s="5">
        <v>14.945000000000002</v>
      </c>
      <c r="J114" s="3" t="s">
        <v>116</v>
      </c>
      <c r="K114" s="3" t="s">
        <v>117</v>
      </c>
      <c r="L114" s="3" t="s">
        <v>118</v>
      </c>
      <c r="M114" s="3" t="s">
        <v>487</v>
      </c>
      <c r="N114" s="8" t="str">
        <f>HYPERLINK("http://slimages.macys.com/is/image/MCY/11798190 ")</f>
        <v xml:space="preserve">http://slimages.macys.com/is/image/MCY/11798190 </v>
      </c>
    </row>
    <row r="115" spans="1:14" ht="60" x14ac:dyDescent="0.25">
      <c r="A115" s="7" t="s">
        <v>488</v>
      </c>
      <c r="B115" s="3" t="s">
        <v>489</v>
      </c>
      <c r="C115" s="4">
        <v>1</v>
      </c>
      <c r="D115" s="5">
        <v>29.5</v>
      </c>
      <c r="E115" s="5">
        <v>99.99</v>
      </c>
      <c r="F115" s="4" t="s">
        <v>490</v>
      </c>
      <c r="G115" s="3" t="s">
        <v>53</v>
      </c>
      <c r="H115" s="7" t="s">
        <v>349</v>
      </c>
      <c r="I115" s="5">
        <v>14.75</v>
      </c>
      <c r="J115" s="3" t="s">
        <v>320</v>
      </c>
      <c r="K115" s="3" t="s">
        <v>491</v>
      </c>
      <c r="L115" s="3" t="s">
        <v>327</v>
      </c>
      <c r="M115" s="3" t="s">
        <v>492</v>
      </c>
      <c r="N115" s="8" t="str">
        <f>HYPERLINK("http://slimages.macys.com/is/image/MCY/9935614 ")</f>
        <v xml:space="preserve">http://slimages.macys.com/is/image/MCY/9935614 </v>
      </c>
    </row>
    <row r="116" spans="1:14" ht="48" x14ac:dyDescent="0.25">
      <c r="A116" s="7" t="s">
        <v>493</v>
      </c>
      <c r="B116" s="3" t="s">
        <v>494</v>
      </c>
      <c r="C116" s="4">
        <v>1</v>
      </c>
      <c r="D116" s="5">
        <v>24.96</v>
      </c>
      <c r="E116" s="5">
        <v>62.99</v>
      </c>
      <c r="F116" s="4">
        <v>56412</v>
      </c>
      <c r="G116" s="3" t="s">
        <v>36</v>
      </c>
      <c r="H116" s="7"/>
      <c r="I116" s="5">
        <v>14.560000000000002</v>
      </c>
      <c r="J116" s="3" t="s">
        <v>116</v>
      </c>
      <c r="K116" s="3" t="s">
        <v>438</v>
      </c>
      <c r="L116" s="3" t="s">
        <v>32</v>
      </c>
      <c r="M116" s="3" t="s">
        <v>39</v>
      </c>
      <c r="N116" s="8" t="str">
        <f>HYPERLINK("http://slimages.macys.com/is/image/MCY/14370977 ")</f>
        <v xml:space="preserve">http://slimages.macys.com/is/image/MCY/14370977 </v>
      </c>
    </row>
    <row r="117" spans="1:14" ht="48" x14ac:dyDescent="0.25">
      <c r="A117" s="7" t="s">
        <v>493</v>
      </c>
      <c r="B117" s="3" t="s">
        <v>494</v>
      </c>
      <c r="C117" s="4">
        <v>1</v>
      </c>
      <c r="D117" s="5">
        <v>24.96</v>
      </c>
      <c r="E117" s="5">
        <v>62.99</v>
      </c>
      <c r="F117" s="4">
        <v>56412</v>
      </c>
      <c r="G117" s="3" t="s">
        <v>36</v>
      </c>
      <c r="H117" s="7"/>
      <c r="I117" s="5">
        <v>14.560000000000002</v>
      </c>
      <c r="J117" s="3" t="s">
        <v>116</v>
      </c>
      <c r="K117" s="3" t="s">
        <v>438</v>
      </c>
      <c r="L117" s="3" t="s">
        <v>32</v>
      </c>
      <c r="M117" s="3" t="s">
        <v>39</v>
      </c>
      <c r="N117" s="8" t="str">
        <f>HYPERLINK("http://slimages.macys.com/is/image/MCY/14370977 ")</f>
        <v xml:space="preserve">http://slimages.macys.com/is/image/MCY/14370977 </v>
      </c>
    </row>
    <row r="118" spans="1:14" ht="48" x14ac:dyDescent="0.25">
      <c r="A118" s="7" t="s">
        <v>495</v>
      </c>
      <c r="B118" s="3" t="s">
        <v>496</v>
      </c>
      <c r="C118" s="4">
        <v>3</v>
      </c>
      <c r="D118" s="5">
        <v>24.88</v>
      </c>
      <c r="E118" s="5">
        <v>58.99</v>
      </c>
      <c r="F118" s="4" t="s">
        <v>497</v>
      </c>
      <c r="G118" s="3" t="s">
        <v>205</v>
      </c>
      <c r="H118" s="7"/>
      <c r="I118" s="5">
        <v>14.513333333333334</v>
      </c>
      <c r="J118" s="3" t="s">
        <v>80</v>
      </c>
      <c r="K118" s="3" t="s">
        <v>48</v>
      </c>
      <c r="L118" s="3" t="s">
        <v>32</v>
      </c>
      <c r="M118" s="3"/>
      <c r="N118" s="8" t="str">
        <f>HYPERLINK("http://slimages.macys.com/is/image/MCY/9310185 ")</f>
        <v xml:space="preserve">http://slimages.macys.com/is/image/MCY/9310185 </v>
      </c>
    </row>
    <row r="119" spans="1:14" ht="48" x14ac:dyDescent="0.25">
      <c r="A119" s="7" t="s">
        <v>495</v>
      </c>
      <c r="B119" s="3" t="s">
        <v>496</v>
      </c>
      <c r="C119" s="4">
        <v>1</v>
      </c>
      <c r="D119" s="5">
        <v>24.88</v>
      </c>
      <c r="E119" s="5">
        <v>58.99</v>
      </c>
      <c r="F119" s="4" t="s">
        <v>497</v>
      </c>
      <c r="G119" s="3" t="s">
        <v>205</v>
      </c>
      <c r="H119" s="7"/>
      <c r="I119" s="5">
        <v>14.513333333333334</v>
      </c>
      <c r="J119" s="3" t="s">
        <v>80</v>
      </c>
      <c r="K119" s="3" t="s">
        <v>48</v>
      </c>
      <c r="L119" s="3" t="s">
        <v>32</v>
      </c>
      <c r="M119" s="3"/>
      <c r="N119" s="8" t="str">
        <f>HYPERLINK("http://slimages.macys.com/is/image/MCY/9310185 ")</f>
        <v xml:space="preserve">http://slimages.macys.com/is/image/MCY/9310185 </v>
      </c>
    </row>
    <row r="120" spans="1:14" ht="96" x14ac:dyDescent="0.25">
      <c r="A120" s="7" t="s">
        <v>498</v>
      </c>
      <c r="B120" s="3" t="s">
        <v>499</v>
      </c>
      <c r="C120" s="4">
        <v>1</v>
      </c>
      <c r="D120" s="5">
        <v>28.92</v>
      </c>
      <c r="E120" s="5">
        <v>69.989999999999995</v>
      </c>
      <c r="F120" s="4" t="s">
        <v>500</v>
      </c>
      <c r="G120" s="3"/>
      <c r="H120" s="7"/>
      <c r="I120" s="5">
        <v>14.46</v>
      </c>
      <c r="J120" s="3" t="s">
        <v>47</v>
      </c>
      <c r="K120" s="3" t="s">
        <v>48</v>
      </c>
      <c r="L120" s="3" t="s">
        <v>32</v>
      </c>
      <c r="M120" s="3" t="s">
        <v>501</v>
      </c>
      <c r="N120" s="8" t="str">
        <f>HYPERLINK("http://slimages.macys.com/is/image/MCY/9484708 ")</f>
        <v xml:space="preserve">http://slimages.macys.com/is/image/MCY/9484708 </v>
      </c>
    </row>
    <row r="121" spans="1:14" ht="144" x14ac:dyDescent="0.25">
      <c r="A121" s="7" t="s">
        <v>502</v>
      </c>
      <c r="B121" s="3" t="s">
        <v>503</v>
      </c>
      <c r="C121" s="4">
        <v>2</v>
      </c>
      <c r="D121" s="5">
        <v>28.82</v>
      </c>
      <c r="E121" s="5">
        <v>89.99</v>
      </c>
      <c r="F121" s="4" t="s">
        <v>504</v>
      </c>
      <c r="G121" s="3" t="s">
        <v>505</v>
      </c>
      <c r="H121" s="7"/>
      <c r="I121" s="5">
        <v>14.410000000000002</v>
      </c>
      <c r="J121" s="3" t="s">
        <v>506</v>
      </c>
      <c r="K121" s="3" t="s">
        <v>507</v>
      </c>
      <c r="L121" s="3" t="s">
        <v>32</v>
      </c>
      <c r="M121" s="3" t="s">
        <v>508</v>
      </c>
      <c r="N121" s="8" t="str">
        <f>HYPERLINK("http://slimages.macys.com/is/image/MCY/16534014 ")</f>
        <v xml:space="preserve">http://slimages.macys.com/is/image/MCY/16534014 </v>
      </c>
    </row>
    <row r="122" spans="1:14" ht="60" x14ac:dyDescent="0.25">
      <c r="A122" s="7" t="s">
        <v>509</v>
      </c>
      <c r="B122" s="3" t="s">
        <v>510</v>
      </c>
      <c r="C122" s="4">
        <v>1</v>
      </c>
      <c r="D122" s="5">
        <v>28.69</v>
      </c>
      <c r="E122" s="5">
        <v>58.99</v>
      </c>
      <c r="F122" s="4" t="s">
        <v>511</v>
      </c>
      <c r="G122" s="3" t="s">
        <v>512</v>
      </c>
      <c r="H122" s="7"/>
      <c r="I122" s="5">
        <v>14.344999999999999</v>
      </c>
      <c r="J122" s="3" t="s">
        <v>47</v>
      </c>
      <c r="K122" s="3" t="s">
        <v>48</v>
      </c>
      <c r="L122" s="3" t="s">
        <v>32</v>
      </c>
      <c r="M122" s="3" t="s">
        <v>513</v>
      </c>
      <c r="N122" s="8" t="str">
        <f>HYPERLINK("http://slimages.macys.com/is/image/MCY/9767741 ")</f>
        <v xml:space="preserve">http://slimages.macys.com/is/image/MCY/9767741 </v>
      </c>
    </row>
    <row r="123" spans="1:14" ht="48" x14ac:dyDescent="0.25">
      <c r="A123" s="7" t="s">
        <v>514</v>
      </c>
      <c r="B123" s="3" t="s">
        <v>515</v>
      </c>
      <c r="C123" s="4">
        <v>3</v>
      </c>
      <c r="D123" s="5">
        <v>24.37</v>
      </c>
      <c r="E123" s="5">
        <v>57.99</v>
      </c>
      <c r="F123" s="4" t="s">
        <v>516</v>
      </c>
      <c r="G123" s="3" t="s">
        <v>59</v>
      </c>
      <c r="H123" s="7"/>
      <c r="I123" s="5">
        <v>14.215833333333334</v>
      </c>
      <c r="J123" s="3" t="s">
        <v>80</v>
      </c>
      <c r="K123" s="3" t="s">
        <v>48</v>
      </c>
      <c r="L123" s="3" t="s">
        <v>32</v>
      </c>
      <c r="M123" s="3" t="s">
        <v>406</v>
      </c>
      <c r="N123" s="8" t="str">
        <f>HYPERLINK("http://slimages.macys.com/is/image/MCY/9534095 ")</f>
        <v xml:space="preserve">http://slimages.macys.com/is/image/MCY/9534095 </v>
      </c>
    </row>
    <row r="124" spans="1:14" ht="48" x14ac:dyDescent="0.25">
      <c r="A124" s="7" t="s">
        <v>514</v>
      </c>
      <c r="B124" s="3" t="s">
        <v>515</v>
      </c>
      <c r="C124" s="4">
        <v>1</v>
      </c>
      <c r="D124" s="5">
        <v>24.37</v>
      </c>
      <c r="E124" s="5">
        <v>57.99</v>
      </c>
      <c r="F124" s="4" t="s">
        <v>516</v>
      </c>
      <c r="G124" s="3" t="s">
        <v>59</v>
      </c>
      <c r="H124" s="7"/>
      <c r="I124" s="5">
        <v>14.215833333333334</v>
      </c>
      <c r="J124" s="3" t="s">
        <v>80</v>
      </c>
      <c r="K124" s="3" t="s">
        <v>48</v>
      </c>
      <c r="L124" s="3" t="s">
        <v>32</v>
      </c>
      <c r="M124" s="3" t="s">
        <v>406</v>
      </c>
      <c r="N124" s="8" t="str">
        <f>HYPERLINK("http://slimages.macys.com/is/image/MCY/9534095 ")</f>
        <v xml:space="preserve">http://slimages.macys.com/is/image/MCY/9534095 </v>
      </c>
    </row>
    <row r="125" spans="1:14" ht="72" x14ac:dyDescent="0.25">
      <c r="A125" s="7" t="s">
        <v>517</v>
      </c>
      <c r="B125" s="3" t="s">
        <v>518</v>
      </c>
      <c r="C125" s="4">
        <v>1</v>
      </c>
      <c r="D125" s="5">
        <v>28.35</v>
      </c>
      <c r="E125" s="5">
        <v>69.989999999999995</v>
      </c>
      <c r="F125" s="4" t="s">
        <v>519</v>
      </c>
      <c r="G125" s="3" t="s">
        <v>520</v>
      </c>
      <c r="H125" s="7"/>
      <c r="I125" s="5">
        <v>14.175000000000002</v>
      </c>
      <c r="J125" s="3" t="s">
        <v>47</v>
      </c>
      <c r="K125" s="3" t="s">
        <v>48</v>
      </c>
      <c r="L125" s="3" t="s">
        <v>32</v>
      </c>
      <c r="M125" s="3" t="s">
        <v>521</v>
      </c>
      <c r="N125" s="8" t="str">
        <f>HYPERLINK("http://slimages.macys.com/is/image/MCY/9486399 ")</f>
        <v xml:space="preserve">http://slimages.macys.com/is/image/MCY/9486399 </v>
      </c>
    </row>
    <row r="126" spans="1:14" ht="48" x14ac:dyDescent="0.25">
      <c r="A126" s="7" t="s">
        <v>522</v>
      </c>
      <c r="B126" s="3" t="s">
        <v>523</v>
      </c>
      <c r="C126" s="4">
        <v>1</v>
      </c>
      <c r="D126" s="5">
        <v>23.65</v>
      </c>
      <c r="E126" s="5">
        <v>79.989999999999995</v>
      </c>
      <c r="F126" s="4" t="s">
        <v>524</v>
      </c>
      <c r="G126" s="3" t="s">
        <v>252</v>
      </c>
      <c r="H126" s="7"/>
      <c r="I126" s="5">
        <v>13.795833333333334</v>
      </c>
      <c r="J126" s="3" t="s">
        <v>71</v>
      </c>
      <c r="K126" s="3" t="s">
        <v>415</v>
      </c>
      <c r="L126" s="3" t="s">
        <v>32</v>
      </c>
      <c r="M126" s="3"/>
      <c r="N126" s="8" t="str">
        <f>HYPERLINK("http://slimages.macys.com/is/image/MCY/10035084 ")</f>
        <v xml:space="preserve">http://slimages.macys.com/is/image/MCY/10035084 </v>
      </c>
    </row>
    <row r="127" spans="1:14" ht="96" x14ac:dyDescent="0.25">
      <c r="A127" s="7" t="s">
        <v>525</v>
      </c>
      <c r="B127" s="3" t="s">
        <v>526</v>
      </c>
      <c r="C127" s="4">
        <v>1</v>
      </c>
      <c r="D127" s="5">
        <v>23.45</v>
      </c>
      <c r="E127" s="5">
        <v>61.99</v>
      </c>
      <c r="F127" s="4" t="s">
        <v>527</v>
      </c>
      <c r="G127" s="3" t="s">
        <v>137</v>
      </c>
      <c r="H127" s="7"/>
      <c r="I127" s="5">
        <v>13.679166666666667</v>
      </c>
      <c r="J127" s="3" t="s">
        <v>80</v>
      </c>
      <c r="K127" s="3" t="s">
        <v>528</v>
      </c>
      <c r="L127" s="3" t="s">
        <v>32</v>
      </c>
      <c r="M127" s="3" t="s">
        <v>529</v>
      </c>
      <c r="N127" s="8" t="str">
        <f>HYPERLINK("http://slimages.macys.com/is/image/MCY/13534556 ")</f>
        <v xml:space="preserve">http://slimages.macys.com/is/image/MCY/13534556 </v>
      </c>
    </row>
    <row r="128" spans="1:14" ht="120" x14ac:dyDescent="0.25">
      <c r="A128" s="7" t="s">
        <v>530</v>
      </c>
      <c r="B128" s="3" t="s">
        <v>531</v>
      </c>
      <c r="C128" s="4">
        <v>3</v>
      </c>
      <c r="D128" s="5">
        <v>27.16</v>
      </c>
      <c r="E128" s="5">
        <v>79.989999999999995</v>
      </c>
      <c r="F128" s="4" t="s">
        <v>532</v>
      </c>
      <c r="G128" s="3" t="s">
        <v>64</v>
      </c>
      <c r="H128" s="7"/>
      <c r="I128" s="5">
        <v>13.58</v>
      </c>
      <c r="J128" s="3" t="s">
        <v>65</v>
      </c>
      <c r="K128" s="3" t="s">
        <v>66</v>
      </c>
      <c r="L128" s="3" t="s">
        <v>32</v>
      </c>
      <c r="M128" s="3" t="s">
        <v>67</v>
      </c>
      <c r="N128" s="8" t="str">
        <f>HYPERLINK("http://slimages.macys.com/is/image/MCY/9621143 ")</f>
        <v xml:space="preserve">http://slimages.macys.com/is/image/MCY/9621143 </v>
      </c>
    </row>
    <row r="129" spans="1:14" ht="120" x14ac:dyDescent="0.25">
      <c r="A129" s="7" t="s">
        <v>530</v>
      </c>
      <c r="B129" s="3" t="s">
        <v>531</v>
      </c>
      <c r="C129" s="4">
        <v>3</v>
      </c>
      <c r="D129" s="5">
        <v>27.16</v>
      </c>
      <c r="E129" s="5">
        <v>79.989999999999995</v>
      </c>
      <c r="F129" s="4" t="s">
        <v>532</v>
      </c>
      <c r="G129" s="3" t="s">
        <v>64</v>
      </c>
      <c r="H129" s="7"/>
      <c r="I129" s="5">
        <v>13.58</v>
      </c>
      <c r="J129" s="3" t="s">
        <v>65</v>
      </c>
      <c r="K129" s="3" t="s">
        <v>66</v>
      </c>
      <c r="L129" s="3" t="s">
        <v>32</v>
      </c>
      <c r="M129" s="3" t="s">
        <v>67</v>
      </c>
      <c r="N129" s="8" t="str">
        <f>HYPERLINK("http://slimages.macys.com/is/image/MCY/9621143 ")</f>
        <v xml:space="preserve">http://slimages.macys.com/is/image/MCY/9621143 </v>
      </c>
    </row>
    <row r="130" spans="1:14" ht="48" x14ac:dyDescent="0.25">
      <c r="A130" s="7" t="s">
        <v>533</v>
      </c>
      <c r="B130" s="3" t="s">
        <v>534</v>
      </c>
      <c r="C130" s="4">
        <v>1</v>
      </c>
      <c r="D130" s="5">
        <v>26.89</v>
      </c>
      <c r="E130" s="5">
        <v>89.99</v>
      </c>
      <c r="F130" s="4">
        <v>10006257000</v>
      </c>
      <c r="G130" s="3" t="s">
        <v>535</v>
      </c>
      <c r="H130" s="7"/>
      <c r="I130" s="5">
        <v>13.445</v>
      </c>
      <c r="J130" s="3" t="s">
        <v>65</v>
      </c>
      <c r="K130" s="3" t="s">
        <v>307</v>
      </c>
      <c r="L130" s="3" t="s">
        <v>32</v>
      </c>
      <c r="M130" s="3" t="s">
        <v>208</v>
      </c>
      <c r="N130" s="8" t="str">
        <f>HYPERLINK("http://slimages.macys.com/is/image/MCY/12318773 ")</f>
        <v xml:space="preserve">http://slimages.macys.com/is/image/MCY/12318773 </v>
      </c>
    </row>
    <row r="131" spans="1:14" ht="156" x14ac:dyDescent="0.25">
      <c r="A131" s="7" t="s">
        <v>536</v>
      </c>
      <c r="B131" s="3" t="s">
        <v>537</v>
      </c>
      <c r="C131" s="4">
        <v>1</v>
      </c>
      <c r="D131" s="5">
        <v>22.86</v>
      </c>
      <c r="E131" s="5">
        <v>87.99</v>
      </c>
      <c r="F131" s="4" t="s">
        <v>538</v>
      </c>
      <c r="G131" s="3" t="s">
        <v>114</v>
      </c>
      <c r="H131" s="7" t="s">
        <v>539</v>
      </c>
      <c r="I131" s="5">
        <v>13.334999999999999</v>
      </c>
      <c r="J131" s="3" t="s">
        <v>116</v>
      </c>
      <c r="K131" s="3" t="s">
        <v>117</v>
      </c>
      <c r="L131" s="3" t="s">
        <v>118</v>
      </c>
      <c r="M131" s="3" t="s">
        <v>487</v>
      </c>
      <c r="N131" s="8" t="str">
        <f>HYPERLINK("http://slimages.macys.com/is/image/MCY/11798194 ")</f>
        <v xml:space="preserve">http://slimages.macys.com/is/image/MCY/11798194 </v>
      </c>
    </row>
    <row r="132" spans="1:14" ht="84" x14ac:dyDescent="0.25">
      <c r="A132" s="7" t="s">
        <v>540</v>
      </c>
      <c r="B132" s="3" t="s">
        <v>541</v>
      </c>
      <c r="C132" s="4">
        <v>1</v>
      </c>
      <c r="D132" s="5">
        <v>26.61</v>
      </c>
      <c r="E132" s="5">
        <v>64.989999999999995</v>
      </c>
      <c r="F132" s="4">
        <v>100072969</v>
      </c>
      <c r="G132" s="3" t="s">
        <v>154</v>
      </c>
      <c r="H132" s="7" t="s">
        <v>542</v>
      </c>
      <c r="I132" s="5">
        <v>13.305</v>
      </c>
      <c r="J132" s="3" t="s">
        <v>543</v>
      </c>
      <c r="K132" s="3" t="s">
        <v>544</v>
      </c>
      <c r="L132" s="3" t="s">
        <v>32</v>
      </c>
      <c r="M132" s="3" t="s">
        <v>545</v>
      </c>
      <c r="N132" s="8" t="str">
        <f>HYPERLINK("http://slimages.macys.com/is/image/MCY/15215936 ")</f>
        <v xml:space="preserve">http://slimages.macys.com/is/image/MCY/15215936 </v>
      </c>
    </row>
    <row r="133" spans="1:14" ht="84" x14ac:dyDescent="0.25">
      <c r="A133" s="7" t="s">
        <v>540</v>
      </c>
      <c r="B133" s="3" t="s">
        <v>541</v>
      </c>
      <c r="C133" s="4">
        <v>10</v>
      </c>
      <c r="D133" s="5">
        <v>26.61</v>
      </c>
      <c r="E133" s="5">
        <v>64.989999999999995</v>
      </c>
      <c r="F133" s="4">
        <v>100072969</v>
      </c>
      <c r="G133" s="3" t="s">
        <v>154</v>
      </c>
      <c r="H133" s="7" t="s">
        <v>542</v>
      </c>
      <c r="I133" s="5">
        <v>13.305</v>
      </c>
      <c r="J133" s="3" t="s">
        <v>543</v>
      </c>
      <c r="K133" s="3" t="s">
        <v>544</v>
      </c>
      <c r="L133" s="3" t="s">
        <v>32</v>
      </c>
      <c r="M133" s="3" t="s">
        <v>545</v>
      </c>
      <c r="N133" s="8" t="str">
        <f>HYPERLINK("http://slimages.macys.com/is/image/MCY/15215936 ")</f>
        <v xml:space="preserve">http://slimages.macys.com/is/image/MCY/15215936 </v>
      </c>
    </row>
    <row r="134" spans="1:14" ht="48" x14ac:dyDescent="0.25">
      <c r="A134" s="7" t="s">
        <v>546</v>
      </c>
      <c r="B134" s="3" t="s">
        <v>547</v>
      </c>
      <c r="C134" s="4">
        <v>1</v>
      </c>
      <c r="D134" s="5">
        <v>26.25</v>
      </c>
      <c r="E134" s="5">
        <v>39.99</v>
      </c>
      <c r="F134" s="4" t="s">
        <v>548</v>
      </c>
      <c r="G134" s="3" t="s">
        <v>36</v>
      </c>
      <c r="H134" s="7"/>
      <c r="I134" s="5">
        <v>13.125</v>
      </c>
      <c r="J134" s="3" t="s">
        <v>549</v>
      </c>
      <c r="K134" s="3" t="s">
        <v>550</v>
      </c>
      <c r="L134" s="3" t="s">
        <v>32</v>
      </c>
      <c r="M134" s="3" t="s">
        <v>55</v>
      </c>
      <c r="N134" s="8" t="str">
        <f>HYPERLINK("http://slimages.macys.com/is/image/MCY/9483294 ")</f>
        <v xml:space="preserve">http://slimages.macys.com/is/image/MCY/9483294 </v>
      </c>
    </row>
    <row r="135" spans="1:14" ht="48" x14ac:dyDescent="0.25">
      <c r="A135" s="7" t="s">
        <v>551</v>
      </c>
      <c r="B135" s="3" t="s">
        <v>552</v>
      </c>
      <c r="C135" s="4">
        <v>1</v>
      </c>
      <c r="D135" s="5">
        <v>26.23</v>
      </c>
      <c r="E135" s="5">
        <v>79.989999999999995</v>
      </c>
      <c r="F135" s="4" t="s">
        <v>553</v>
      </c>
      <c r="G135" s="3" t="s">
        <v>64</v>
      </c>
      <c r="H135" s="7"/>
      <c r="I135" s="5">
        <v>13.115</v>
      </c>
      <c r="J135" s="3" t="s">
        <v>65</v>
      </c>
      <c r="K135" s="3" t="s">
        <v>66</v>
      </c>
      <c r="L135" s="3" t="s">
        <v>32</v>
      </c>
      <c r="M135" s="3"/>
      <c r="N135" s="8" t="str">
        <f>HYPERLINK("http://slimages.macys.com/is/image/MCY/9621146 ")</f>
        <v xml:space="preserve">http://slimages.macys.com/is/image/MCY/9621146 </v>
      </c>
    </row>
    <row r="136" spans="1:14" ht="48" x14ac:dyDescent="0.25">
      <c r="A136" s="7" t="s">
        <v>551</v>
      </c>
      <c r="B136" s="3" t="s">
        <v>552</v>
      </c>
      <c r="C136" s="4">
        <v>1</v>
      </c>
      <c r="D136" s="5">
        <v>26.23</v>
      </c>
      <c r="E136" s="5">
        <v>79.989999999999995</v>
      </c>
      <c r="F136" s="4" t="s">
        <v>553</v>
      </c>
      <c r="G136" s="3" t="s">
        <v>64</v>
      </c>
      <c r="H136" s="7"/>
      <c r="I136" s="5">
        <v>13.115</v>
      </c>
      <c r="J136" s="3" t="s">
        <v>65</v>
      </c>
      <c r="K136" s="3" t="s">
        <v>66</v>
      </c>
      <c r="L136" s="3" t="s">
        <v>32</v>
      </c>
      <c r="M136" s="3"/>
      <c r="N136" s="8" t="str">
        <f>HYPERLINK("http://slimages.macys.com/is/image/MCY/9621146 ")</f>
        <v xml:space="preserve">http://slimages.macys.com/is/image/MCY/9621146 </v>
      </c>
    </row>
    <row r="137" spans="1:14" ht="48" x14ac:dyDescent="0.25">
      <c r="A137" s="7" t="s">
        <v>554</v>
      </c>
      <c r="B137" s="3" t="s">
        <v>555</v>
      </c>
      <c r="C137" s="4">
        <v>1</v>
      </c>
      <c r="D137" s="5">
        <v>26.23</v>
      </c>
      <c r="E137" s="5">
        <v>79.989999999999995</v>
      </c>
      <c r="F137" s="4" t="s">
        <v>556</v>
      </c>
      <c r="G137" s="3" t="s">
        <v>64</v>
      </c>
      <c r="H137" s="7"/>
      <c r="I137" s="5">
        <v>13.115</v>
      </c>
      <c r="J137" s="3" t="s">
        <v>65</v>
      </c>
      <c r="K137" s="3" t="s">
        <v>66</v>
      </c>
      <c r="L137" s="3" t="s">
        <v>32</v>
      </c>
      <c r="M137" s="3"/>
      <c r="N137" s="8" t="str">
        <f>HYPERLINK("http://slimages.macys.com/is/image/MCY/9621144 ")</f>
        <v xml:space="preserve">http://slimages.macys.com/is/image/MCY/9621144 </v>
      </c>
    </row>
    <row r="138" spans="1:14" ht="48" x14ac:dyDescent="0.25">
      <c r="A138" s="7" t="s">
        <v>554</v>
      </c>
      <c r="B138" s="3" t="s">
        <v>555</v>
      </c>
      <c r="C138" s="4">
        <v>11</v>
      </c>
      <c r="D138" s="5">
        <v>26.23</v>
      </c>
      <c r="E138" s="5">
        <v>79.989999999999995</v>
      </c>
      <c r="F138" s="4" t="s">
        <v>556</v>
      </c>
      <c r="G138" s="3" t="s">
        <v>64</v>
      </c>
      <c r="H138" s="7"/>
      <c r="I138" s="5">
        <v>13.115</v>
      </c>
      <c r="J138" s="3" t="s">
        <v>65</v>
      </c>
      <c r="K138" s="3" t="s">
        <v>66</v>
      </c>
      <c r="L138" s="3" t="s">
        <v>32</v>
      </c>
      <c r="M138" s="3"/>
      <c r="N138" s="8" t="str">
        <f>HYPERLINK("http://slimages.macys.com/is/image/MCY/9621144 ")</f>
        <v xml:space="preserve">http://slimages.macys.com/is/image/MCY/9621144 </v>
      </c>
    </row>
    <row r="139" spans="1:14" ht="48" x14ac:dyDescent="0.25">
      <c r="A139" s="7" t="s">
        <v>557</v>
      </c>
      <c r="B139" s="3" t="s">
        <v>558</v>
      </c>
      <c r="C139" s="4">
        <v>2</v>
      </c>
      <c r="D139" s="5">
        <v>26.22</v>
      </c>
      <c r="E139" s="5">
        <v>59.99</v>
      </c>
      <c r="F139" s="4">
        <v>16718238</v>
      </c>
      <c r="G139" s="3" t="s">
        <v>559</v>
      </c>
      <c r="H139" s="7"/>
      <c r="I139" s="5">
        <v>13.11</v>
      </c>
      <c r="J139" s="3" t="s">
        <v>256</v>
      </c>
      <c r="K139" s="3" t="s">
        <v>560</v>
      </c>
      <c r="L139" s="3" t="s">
        <v>32</v>
      </c>
      <c r="M139" s="3" t="s">
        <v>303</v>
      </c>
      <c r="N139" s="8" t="str">
        <f>HYPERLINK("http://slimages.macys.com/is/image/MCY/3073694 ")</f>
        <v xml:space="preserve">http://slimages.macys.com/is/image/MCY/3073694 </v>
      </c>
    </row>
    <row r="140" spans="1:14" ht="48" x14ac:dyDescent="0.25">
      <c r="A140" s="7" t="s">
        <v>561</v>
      </c>
      <c r="B140" s="3" t="s">
        <v>562</v>
      </c>
      <c r="C140" s="4">
        <v>1</v>
      </c>
      <c r="D140" s="5">
        <v>22.28</v>
      </c>
      <c r="E140" s="5">
        <v>55.99</v>
      </c>
      <c r="F140" s="4">
        <v>62114</v>
      </c>
      <c r="G140" s="3" t="s">
        <v>114</v>
      </c>
      <c r="H140" s="7"/>
      <c r="I140" s="5">
        <v>12.996666666666668</v>
      </c>
      <c r="J140" s="3" t="s">
        <v>116</v>
      </c>
      <c r="K140" s="3" t="s">
        <v>438</v>
      </c>
      <c r="L140" s="3" t="s">
        <v>32</v>
      </c>
      <c r="M140" s="3" t="s">
        <v>39</v>
      </c>
      <c r="N140" s="8" t="str">
        <f>HYPERLINK("http://slimages.macys.com/is/image/MCY/14371023 ")</f>
        <v xml:space="preserve">http://slimages.macys.com/is/image/MCY/14371023 </v>
      </c>
    </row>
    <row r="141" spans="1:14" ht="48" x14ac:dyDescent="0.25">
      <c r="A141" s="7" t="s">
        <v>563</v>
      </c>
      <c r="B141" s="3" t="s">
        <v>564</v>
      </c>
      <c r="C141" s="4">
        <v>1</v>
      </c>
      <c r="D141" s="5">
        <v>25.5</v>
      </c>
      <c r="E141" s="5">
        <v>59.99</v>
      </c>
      <c r="F141" s="4" t="s">
        <v>565</v>
      </c>
      <c r="G141" s="3" t="s">
        <v>336</v>
      </c>
      <c r="H141" s="7"/>
      <c r="I141" s="5">
        <v>12.750000000000002</v>
      </c>
      <c r="J141" s="3" t="s">
        <v>256</v>
      </c>
      <c r="K141" s="3" t="s">
        <v>257</v>
      </c>
      <c r="L141" s="3" t="s">
        <v>32</v>
      </c>
      <c r="M141" s="3" t="s">
        <v>76</v>
      </c>
      <c r="N141" s="8" t="str">
        <f>HYPERLINK("http://slimages.macys.com/is/image/MCY/13628481 ")</f>
        <v xml:space="preserve">http://slimages.macys.com/is/image/MCY/13628481 </v>
      </c>
    </row>
    <row r="142" spans="1:14" ht="48" x14ac:dyDescent="0.25">
      <c r="A142" s="7" t="s">
        <v>566</v>
      </c>
      <c r="B142" s="3" t="s">
        <v>567</v>
      </c>
      <c r="C142" s="4">
        <v>1</v>
      </c>
      <c r="D142" s="5">
        <v>25.29</v>
      </c>
      <c r="E142" s="5">
        <v>49.99</v>
      </c>
      <c r="F142" s="4" t="s">
        <v>568</v>
      </c>
      <c r="G142" s="3" t="s">
        <v>569</v>
      </c>
      <c r="H142" s="7"/>
      <c r="I142" s="5">
        <v>12.645</v>
      </c>
      <c r="J142" s="3" t="s">
        <v>570</v>
      </c>
      <c r="K142" s="3" t="s">
        <v>571</v>
      </c>
      <c r="L142" s="3" t="s">
        <v>32</v>
      </c>
      <c r="M142" s="3"/>
      <c r="N142" s="8" t="str">
        <f>HYPERLINK("http://slimages.macys.com/is/image/MCY/11241738 ")</f>
        <v xml:space="preserve">http://slimages.macys.com/is/image/MCY/11241738 </v>
      </c>
    </row>
    <row r="143" spans="1:14" ht="48" x14ac:dyDescent="0.25">
      <c r="A143" s="7" t="s">
        <v>572</v>
      </c>
      <c r="B143" s="3" t="s">
        <v>573</v>
      </c>
      <c r="C143" s="4">
        <v>2</v>
      </c>
      <c r="D143" s="5">
        <v>24.4</v>
      </c>
      <c r="E143" s="5">
        <v>67</v>
      </c>
      <c r="F143" s="4" t="s">
        <v>574</v>
      </c>
      <c r="G143" s="3" t="s">
        <v>59</v>
      </c>
      <c r="H143" s="7"/>
      <c r="I143" s="5">
        <v>12.200000000000001</v>
      </c>
      <c r="J143" s="3" t="s">
        <v>47</v>
      </c>
      <c r="K143" s="3" t="s">
        <v>355</v>
      </c>
      <c r="L143" s="3" t="s">
        <v>32</v>
      </c>
      <c r="M143" s="3" t="s">
        <v>208</v>
      </c>
      <c r="N143" s="8" t="str">
        <f>HYPERLINK("http://slimages.macys.com/is/image/MCY/13300319 ")</f>
        <v xml:space="preserve">http://slimages.macys.com/is/image/MCY/13300319 </v>
      </c>
    </row>
    <row r="144" spans="1:14" ht="96" x14ac:dyDescent="0.25">
      <c r="A144" s="7" t="s">
        <v>575</v>
      </c>
      <c r="B144" s="3" t="s">
        <v>576</v>
      </c>
      <c r="C144" s="4">
        <v>2</v>
      </c>
      <c r="D144" s="5">
        <v>20.87</v>
      </c>
      <c r="E144" s="5">
        <v>59.99</v>
      </c>
      <c r="F144" s="4" t="s">
        <v>577</v>
      </c>
      <c r="G144" s="3" t="s">
        <v>114</v>
      </c>
      <c r="H144" s="7" t="s">
        <v>539</v>
      </c>
      <c r="I144" s="5">
        <v>12.174166666666666</v>
      </c>
      <c r="J144" s="3" t="s">
        <v>116</v>
      </c>
      <c r="K144" s="3" t="s">
        <v>578</v>
      </c>
      <c r="L144" s="3" t="s">
        <v>32</v>
      </c>
      <c r="M144" s="3" t="s">
        <v>579</v>
      </c>
      <c r="N144" s="8" t="str">
        <f>HYPERLINK("http://slimages.macys.com/is/image/MCY/15059845 ")</f>
        <v xml:space="preserve">http://slimages.macys.com/is/image/MCY/15059845 </v>
      </c>
    </row>
    <row r="145" spans="1:14" ht="48" x14ac:dyDescent="0.25">
      <c r="A145" s="7" t="s">
        <v>580</v>
      </c>
      <c r="B145" s="3" t="s">
        <v>581</v>
      </c>
      <c r="C145" s="4">
        <v>1</v>
      </c>
      <c r="D145" s="5">
        <v>20.67</v>
      </c>
      <c r="E145" s="5">
        <v>54.99</v>
      </c>
      <c r="F145" s="4">
        <v>47511</v>
      </c>
      <c r="G145" s="3" t="s">
        <v>114</v>
      </c>
      <c r="H145" s="7"/>
      <c r="I145" s="5">
        <v>12.057499999999999</v>
      </c>
      <c r="J145" s="3" t="s">
        <v>116</v>
      </c>
      <c r="K145" s="3" t="s">
        <v>438</v>
      </c>
      <c r="L145" s="3" t="s">
        <v>32</v>
      </c>
      <c r="M145" s="3" t="s">
        <v>439</v>
      </c>
      <c r="N145" s="8" t="str">
        <f>HYPERLINK("http://slimages.macys.com/is/image/MCY/14370948 ")</f>
        <v xml:space="preserve">http://slimages.macys.com/is/image/MCY/14370948 </v>
      </c>
    </row>
    <row r="146" spans="1:14" ht="60" x14ac:dyDescent="0.25">
      <c r="A146" s="7" t="s">
        <v>582</v>
      </c>
      <c r="B146" s="3" t="s">
        <v>583</v>
      </c>
      <c r="C146" s="4">
        <v>1</v>
      </c>
      <c r="D146" s="5">
        <v>23.97</v>
      </c>
      <c r="E146" s="5">
        <v>95</v>
      </c>
      <c r="F146" s="4" t="s">
        <v>584</v>
      </c>
      <c r="G146" s="3" t="s">
        <v>36</v>
      </c>
      <c r="H146" s="7" t="s">
        <v>268</v>
      </c>
      <c r="I146" s="5">
        <v>11.984999999999999</v>
      </c>
      <c r="J146" s="3" t="s">
        <v>65</v>
      </c>
      <c r="K146" s="3" t="s">
        <v>585</v>
      </c>
      <c r="L146" s="3" t="s">
        <v>327</v>
      </c>
      <c r="M146" s="3" t="s">
        <v>586</v>
      </c>
      <c r="N146" s="8" t="str">
        <f>HYPERLINK("http://images.bloomingdales.com/is/image/BLM/9119230 ")</f>
        <v xml:space="preserve">http://images.bloomingdales.com/is/image/BLM/9119230 </v>
      </c>
    </row>
    <row r="147" spans="1:14" ht="48" x14ac:dyDescent="0.25">
      <c r="A147" s="7" t="s">
        <v>587</v>
      </c>
      <c r="B147" s="3" t="s">
        <v>588</v>
      </c>
      <c r="C147" s="4">
        <v>1</v>
      </c>
      <c r="D147" s="5">
        <v>23.62</v>
      </c>
      <c r="E147" s="5">
        <v>81.99</v>
      </c>
      <c r="F147" s="4" t="s">
        <v>589</v>
      </c>
      <c r="G147" s="3" t="s">
        <v>59</v>
      </c>
      <c r="H147" s="7"/>
      <c r="I147" s="5">
        <v>11.81</v>
      </c>
      <c r="J147" s="3" t="s">
        <v>47</v>
      </c>
      <c r="K147" s="3" t="s">
        <v>48</v>
      </c>
      <c r="L147" s="3" t="s">
        <v>32</v>
      </c>
      <c r="M147" s="3" t="s">
        <v>55</v>
      </c>
      <c r="N147" s="8" t="str">
        <f>HYPERLINK("http://slimages.macys.com/is/image/MCY/12496254 ")</f>
        <v xml:space="preserve">http://slimages.macys.com/is/image/MCY/12496254 </v>
      </c>
    </row>
    <row r="148" spans="1:14" ht="192" x14ac:dyDescent="0.25">
      <c r="A148" s="7" t="s">
        <v>590</v>
      </c>
      <c r="B148" s="3" t="s">
        <v>591</v>
      </c>
      <c r="C148" s="4">
        <v>1</v>
      </c>
      <c r="D148" s="5">
        <v>23.62</v>
      </c>
      <c r="E148" s="5">
        <v>60.99</v>
      </c>
      <c r="F148" s="4" t="s">
        <v>592</v>
      </c>
      <c r="G148" s="3" t="s">
        <v>59</v>
      </c>
      <c r="H148" s="7"/>
      <c r="I148" s="5">
        <v>11.81</v>
      </c>
      <c r="J148" s="3" t="s">
        <v>47</v>
      </c>
      <c r="K148" s="3" t="s">
        <v>48</v>
      </c>
      <c r="L148" s="3" t="s">
        <v>32</v>
      </c>
      <c r="M148" s="3" t="s">
        <v>593</v>
      </c>
      <c r="N148" s="8" t="str">
        <f>HYPERLINK("http://slimages.macys.com/is/image/MCY/10389964 ")</f>
        <v xml:space="preserve">http://slimages.macys.com/is/image/MCY/10389964 </v>
      </c>
    </row>
    <row r="149" spans="1:14" ht="48" x14ac:dyDescent="0.25">
      <c r="A149" s="7" t="s">
        <v>594</v>
      </c>
      <c r="B149" s="3" t="s">
        <v>595</v>
      </c>
      <c r="C149" s="4">
        <v>1</v>
      </c>
      <c r="D149" s="5">
        <v>19.09</v>
      </c>
      <c r="E149" s="5">
        <v>49.99</v>
      </c>
      <c r="F149" s="4" t="s">
        <v>596</v>
      </c>
      <c r="G149" s="3" t="s">
        <v>127</v>
      </c>
      <c r="H149" s="7"/>
      <c r="I149" s="5">
        <v>11.772166666666667</v>
      </c>
      <c r="J149" s="3" t="s">
        <v>380</v>
      </c>
      <c r="K149" s="3" t="s">
        <v>597</v>
      </c>
      <c r="L149" s="3" t="s">
        <v>32</v>
      </c>
      <c r="M149" s="3" t="s">
        <v>598</v>
      </c>
      <c r="N149" s="8" t="str">
        <f>HYPERLINK("http://slimages.macys.com/is/image/MCY/748990 ")</f>
        <v xml:space="preserve">http://slimages.macys.com/is/image/MCY/748990 </v>
      </c>
    </row>
    <row r="150" spans="1:14" ht="48" x14ac:dyDescent="0.25">
      <c r="A150" s="7" t="s">
        <v>599</v>
      </c>
      <c r="B150" s="3" t="s">
        <v>600</v>
      </c>
      <c r="C150" s="4">
        <v>1</v>
      </c>
      <c r="D150" s="5">
        <v>23.51</v>
      </c>
      <c r="E150" s="5">
        <v>79.989999999999995</v>
      </c>
      <c r="F150" s="4">
        <v>10008627900</v>
      </c>
      <c r="G150" s="3" t="s">
        <v>64</v>
      </c>
      <c r="H150" s="7" t="s">
        <v>601</v>
      </c>
      <c r="I150" s="5">
        <v>11.755000000000001</v>
      </c>
      <c r="J150" s="3" t="s">
        <v>65</v>
      </c>
      <c r="K150" s="3" t="s">
        <v>602</v>
      </c>
      <c r="L150" s="3"/>
      <c r="M150" s="3"/>
      <c r="N150" s="8" t="str">
        <f>HYPERLINK("http://slimages.macys.com/is/image/MCY/16688475 ")</f>
        <v xml:space="preserve">http://slimages.macys.com/is/image/MCY/16688475 </v>
      </c>
    </row>
    <row r="151" spans="1:14" ht="48" x14ac:dyDescent="0.25">
      <c r="A151" s="7" t="s">
        <v>603</v>
      </c>
      <c r="B151" s="3" t="s">
        <v>604</v>
      </c>
      <c r="C151" s="4">
        <v>1</v>
      </c>
      <c r="D151" s="5">
        <v>23.5</v>
      </c>
      <c r="E151" s="5">
        <v>58.99</v>
      </c>
      <c r="F151" s="4" t="s">
        <v>605</v>
      </c>
      <c r="G151" s="3" t="s">
        <v>64</v>
      </c>
      <c r="H151" s="7"/>
      <c r="I151" s="5">
        <v>11.75</v>
      </c>
      <c r="J151" s="3" t="s">
        <v>47</v>
      </c>
      <c r="K151" s="3" t="s">
        <v>311</v>
      </c>
      <c r="L151" s="3" t="s">
        <v>32</v>
      </c>
      <c r="M151" s="3" t="s">
        <v>411</v>
      </c>
      <c r="N151" s="8" t="str">
        <f>HYPERLINK("http://slimages.macys.com/is/image/MCY/14540133 ")</f>
        <v xml:space="preserve">http://slimages.macys.com/is/image/MCY/14540133 </v>
      </c>
    </row>
    <row r="152" spans="1:14" ht="48" x14ac:dyDescent="0.25">
      <c r="A152" s="7" t="s">
        <v>606</v>
      </c>
      <c r="B152" s="3" t="s">
        <v>607</v>
      </c>
      <c r="C152" s="4">
        <v>1</v>
      </c>
      <c r="D152" s="5">
        <v>23.49</v>
      </c>
      <c r="E152" s="5">
        <v>59.99</v>
      </c>
      <c r="F152" s="4" t="s">
        <v>608</v>
      </c>
      <c r="G152" s="3" t="s">
        <v>297</v>
      </c>
      <c r="H152" s="7"/>
      <c r="I152" s="5">
        <v>11.744999999999999</v>
      </c>
      <c r="J152" s="3" t="s">
        <v>186</v>
      </c>
      <c r="K152" s="3" t="s">
        <v>207</v>
      </c>
      <c r="L152" s="3" t="s">
        <v>32</v>
      </c>
      <c r="M152" s="3" t="s">
        <v>73</v>
      </c>
      <c r="N152" s="8" t="str">
        <f>HYPERLINK("http://slimages.macys.com/is/image/MCY/9418435 ")</f>
        <v xml:space="preserve">http://slimages.macys.com/is/image/MCY/9418435 </v>
      </c>
    </row>
    <row r="153" spans="1:14" ht="48" x14ac:dyDescent="0.25">
      <c r="A153" s="7" t="s">
        <v>609</v>
      </c>
      <c r="B153" s="3" t="s">
        <v>610</v>
      </c>
      <c r="C153" s="4">
        <v>1</v>
      </c>
      <c r="D153" s="5">
        <v>19.91</v>
      </c>
      <c r="E153" s="5">
        <v>47.99</v>
      </c>
      <c r="F153" s="4" t="s">
        <v>611</v>
      </c>
      <c r="G153" s="3" t="s">
        <v>114</v>
      </c>
      <c r="H153" s="7"/>
      <c r="I153" s="5">
        <v>11.614166666666666</v>
      </c>
      <c r="J153" s="3" t="s">
        <v>80</v>
      </c>
      <c r="K153" s="3" t="s">
        <v>48</v>
      </c>
      <c r="L153" s="3" t="s">
        <v>32</v>
      </c>
      <c r="M153" s="3" t="s">
        <v>406</v>
      </c>
      <c r="N153" s="8" t="str">
        <f>HYPERLINK("http://slimages.macys.com/is/image/MCY/9535341 ")</f>
        <v xml:space="preserve">http://slimages.macys.com/is/image/MCY/9535341 </v>
      </c>
    </row>
    <row r="154" spans="1:14" ht="48" x14ac:dyDescent="0.25">
      <c r="A154" s="7" t="s">
        <v>612</v>
      </c>
      <c r="B154" s="3" t="s">
        <v>613</v>
      </c>
      <c r="C154" s="4">
        <v>4</v>
      </c>
      <c r="D154" s="5">
        <v>19.91</v>
      </c>
      <c r="E154" s="5">
        <v>42.99</v>
      </c>
      <c r="F154" s="4" t="s">
        <v>614</v>
      </c>
      <c r="G154" s="3" t="s">
        <v>59</v>
      </c>
      <c r="H154" s="7"/>
      <c r="I154" s="5">
        <v>11.614166666666666</v>
      </c>
      <c r="J154" s="3" t="s">
        <v>80</v>
      </c>
      <c r="K154" s="3" t="s">
        <v>48</v>
      </c>
      <c r="L154" s="3" t="s">
        <v>32</v>
      </c>
      <c r="M154" s="3" t="s">
        <v>208</v>
      </c>
      <c r="N154" s="8" t="str">
        <f>HYPERLINK("http://slimages.macys.com/is/image/MCY/10015498 ")</f>
        <v xml:space="preserve">http://slimages.macys.com/is/image/MCY/10015498 </v>
      </c>
    </row>
    <row r="155" spans="1:14" ht="48" x14ac:dyDescent="0.25">
      <c r="A155" s="7" t="s">
        <v>615</v>
      </c>
      <c r="B155" s="3" t="s">
        <v>616</v>
      </c>
      <c r="C155" s="4">
        <v>2</v>
      </c>
      <c r="D155" s="5">
        <v>19.91</v>
      </c>
      <c r="E155" s="5">
        <v>47.99</v>
      </c>
      <c r="F155" s="4" t="s">
        <v>617</v>
      </c>
      <c r="G155" s="3" t="s">
        <v>127</v>
      </c>
      <c r="H155" s="7"/>
      <c r="I155" s="5">
        <v>11.614166666666666</v>
      </c>
      <c r="J155" s="3" t="s">
        <v>80</v>
      </c>
      <c r="K155" s="3" t="s">
        <v>48</v>
      </c>
      <c r="L155" s="3" t="s">
        <v>32</v>
      </c>
      <c r="M155" s="3" t="s">
        <v>208</v>
      </c>
      <c r="N155" s="8" t="str">
        <f>HYPERLINK("http://slimages.macys.com/is/image/MCY/9310164 ")</f>
        <v xml:space="preserve">http://slimages.macys.com/is/image/MCY/9310164 </v>
      </c>
    </row>
    <row r="156" spans="1:14" ht="48" x14ac:dyDescent="0.25">
      <c r="A156" s="7" t="s">
        <v>612</v>
      </c>
      <c r="B156" s="3" t="s">
        <v>613</v>
      </c>
      <c r="C156" s="4">
        <v>1</v>
      </c>
      <c r="D156" s="5">
        <v>19.91</v>
      </c>
      <c r="E156" s="5">
        <v>42.99</v>
      </c>
      <c r="F156" s="4" t="s">
        <v>614</v>
      </c>
      <c r="G156" s="3" t="s">
        <v>59</v>
      </c>
      <c r="H156" s="7"/>
      <c r="I156" s="5">
        <v>11.614166666666666</v>
      </c>
      <c r="J156" s="3" t="s">
        <v>80</v>
      </c>
      <c r="K156" s="3" t="s">
        <v>48</v>
      </c>
      <c r="L156" s="3" t="s">
        <v>32</v>
      </c>
      <c r="M156" s="3" t="s">
        <v>208</v>
      </c>
      <c r="N156" s="8" t="str">
        <f>HYPERLINK("http://slimages.macys.com/is/image/MCY/10015498 ")</f>
        <v xml:space="preserve">http://slimages.macys.com/is/image/MCY/10015498 </v>
      </c>
    </row>
    <row r="157" spans="1:14" ht="96" x14ac:dyDescent="0.25">
      <c r="A157" s="7" t="s">
        <v>618</v>
      </c>
      <c r="B157" s="3" t="s">
        <v>619</v>
      </c>
      <c r="C157" s="4">
        <v>1</v>
      </c>
      <c r="D157" s="5">
        <v>19.600000000000001</v>
      </c>
      <c r="E157" s="5">
        <v>42.99</v>
      </c>
      <c r="F157" s="4" t="s">
        <v>620</v>
      </c>
      <c r="G157" s="3" t="s">
        <v>114</v>
      </c>
      <c r="H157" s="7"/>
      <c r="I157" s="5">
        <v>11.433333333333334</v>
      </c>
      <c r="J157" s="3" t="s">
        <v>80</v>
      </c>
      <c r="K157" s="3" t="s">
        <v>48</v>
      </c>
      <c r="L157" s="3" t="s">
        <v>32</v>
      </c>
      <c r="M157" s="3" t="s">
        <v>621</v>
      </c>
      <c r="N157" s="8" t="str">
        <f>HYPERLINK("http://slimages.macys.com/is/image/MCY/9912812 ")</f>
        <v xml:space="preserve">http://slimages.macys.com/is/image/MCY/9912812 </v>
      </c>
    </row>
    <row r="158" spans="1:14" ht="48" x14ac:dyDescent="0.25">
      <c r="A158" s="7" t="s">
        <v>622</v>
      </c>
      <c r="B158" s="3" t="s">
        <v>623</v>
      </c>
      <c r="C158" s="4">
        <v>3</v>
      </c>
      <c r="D158" s="5">
        <v>19.600000000000001</v>
      </c>
      <c r="E158" s="5">
        <v>38.99</v>
      </c>
      <c r="F158" s="4" t="s">
        <v>624</v>
      </c>
      <c r="G158" s="3" t="s">
        <v>109</v>
      </c>
      <c r="H158" s="7"/>
      <c r="I158" s="5">
        <v>11.433333333333334</v>
      </c>
      <c r="J158" s="3" t="s">
        <v>80</v>
      </c>
      <c r="K158" s="3" t="s">
        <v>48</v>
      </c>
      <c r="L158" s="3" t="s">
        <v>32</v>
      </c>
      <c r="M158" s="3"/>
      <c r="N158" s="8" t="str">
        <f>HYPERLINK("http://slimages.macys.com/is/image/MCY/9912812 ")</f>
        <v xml:space="preserve">http://slimages.macys.com/is/image/MCY/9912812 </v>
      </c>
    </row>
    <row r="159" spans="1:14" ht="84" x14ac:dyDescent="0.25">
      <c r="A159" s="7" t="s">
        <v>625</v>
      </c>
      <c r="B159" s="3" t="s">
        <v>626</v>
      </c>
      <c r="C159" s="4">
        <v>2</v>
      </c>
      <c r="D159" s="5">
        <v>19.559999999999999</v>
      </c>
      <c r="E159" s="5">
        <v>67.989999999999995</v>
      </c>
      <c r="F159" s="4" t="s">
        <v>627</v>
      </c>
      <c r="G159" s="3" t="s">
        <v>628</v>
      </c>
      <c r="H159" s="7"/>
      <c r="I159" s="5">
        <v>11.41</v>
      </c>
      <c r="J159" s="3" t="s">
        <v>80</v>
      </c>
      <c r="K159" s="3" t="s">
        <v>629</v>
      </c>
      <c r="L159" s="3" t="s">
        <v>32</v>
      </c>
      <c r="M159" s="3" t="s">
        <v>630</v>
      </c>
      <c r="N159" s="8" t="str">
        <f>HYPERLINK("http://slimages.macys.com/is/image/MCY/11495282 ")</f>
        <v xml:space="preserve">http://slimages.macys.com/is/image/MCY/11495282 </v>
      </c>
    </row>
    <row r="160" spans="1:14" ht="48" x14ac:dyDescent="0.25">
      <c r="A160" s="7" t="s">
        <v>631</v>
      </c>
      <c r="B160" s="3" t="s">
        <v>632</v>
      </c>
      <c r="C160" s="4">
        <v>1</v>
      </c>
      <c r="D160" s="5">
        <v>22.77</v>
      </c>
      <c r="E160" s="5">
        <v>64.989999999999995</v>
      </c>
      <c r="F160" s="4">
        <v>100071429</v>
      </c>
      <c r="G160" s="3" t="s">
        <v>633</v>
      </c>
      <c r="H160" s="7" t="s">
        <v>542</v>
      </c>
      <c r="I160" s="5">
        <v>11.385000000000002</v>
      </c>
      <c r="J160" s="3" t="s">
        <v>543</v>
      </c>
      <c r="K160" s="3" t="s">
        <v>544</v>
      </c>
      <c r="L160" s="3" t="s">
        <v>32</v>
      </c>
      <c r="M160" s="3" t="s">
        <v>634</v>
      </c>
      <c r="N160" s="8" t="str">
        <f>HYPERLINK("http://slimages.macys.com/is/image/MCY/9851435 ")</f>
        <v xml:space="preserve">http://slimages.macys.com/is/image/MCY/9851435 </v>
      </c>
    </row>
    <row r="161" spans="1:14" ht="48" x14ac:dyDescent="0.25">
      <c r="A161" s="7" t="s">
        <v>635</v>
      </c>
      <c r="B161" s="3" t="s">
        <v>636</v>
      </c>
      <c r="C161" s="4">
        <v>2</v>
      </c>
      <c r="D161" s="5">
        <v>22.77</v>
      </c>
      <c r="E161" s="5">
        <v>64.989999999999995</v>
      </c>
      <c r="F161" s="4">
        <v>100071429</v>
      </c>
      <c r="G161" s="3" t="s">
        <v>410</v>
      </c>
      <c r="H161" s="7" t="s">
        <v>542</v>
      </c>
      <c r="I161" s="5">
        <v>11.385000000000002</v>
      </c>
      <c r="J161" s="3" t="s">
        <v>543</v>
      </c>
      <c r="K161" s="3" t="s">
        <v>544</v>
      </c>
      <c r="L161" s="3" t="s">
        <v>32</v>
      </c>
      <c r="M161" s="3" t="s">
        <v>634</v>
      </c>
      <c r="N161" s="8" t="str">
        <f>HYPERLINK("http://slimages.macys.com/is/image/MCY/9851435 ")</f>
        <v xml:space="preserve">http://slimages.macys.com/is/image/MCY/9851435 </v>
      </c>
    </row>
    <row r="162" spans="1:14" ht="48" x14ac:dyDescent="0.25">
      <c r="A162" s="7" t="s">
        <v>637</v>
      </c>
      <c r="B162" s="3" t="s">
        <v>638</v>
      </c>
      <c r="C162" s="4">
        <v>1</v>
      </c>
      <c r="D162" s="5">
        <v>22.72</v>
      </c>
      <c r="E162" s="5">
        <v>79.989999999999995</v>
      </c>
      <c r="F162" s="4" t="s">
        <v>639</v>
      </c>
      <c r="G162" s="3" t="s">
        <v>220</v>
      </c>
      <c r="H162" s="7"/>
      <c r="I162" s="5">
        <v>11.36</v>
      </c>
      <c r="J162" s="3" t="s">
        <v>65</v>
      </c>
      <c r="K162" s="3" t="s">
        <v>66</v>
      </c>
      <c r="L162" s="3" t="s">
        <v>32</v>
      </c>
      <c r="M162" s="3"/>
      <c r="N162" s="8" t="str">
        <f>HYPERLINK("http://slimages.macys.com/is/image/MCY/9621146 ")</f>
        <v xml:space="preserve">http://slimages.macys.com/is/image/MCY/9621146 </v>
      </c>
    </row>
    <row r="163" spans="1:14" ht="48" x14ac:dyDescent="0.25">
      <c r="A163" s="7" t="s">
        <v>640</v>
      </c>
      <c r="B163" s="3" t="s">
        <v>641</v>
      </c>
      <c r="C163" s="4">
        <v>2</v>
      </c>
      <c r="D163" s="5">
        <v>22.71</v>
      </c>
      <c r="E163" s="5">
        <v>39.99</v>
      </c>
      <c r="F163" s="4" t="s">
        <v>642</v>
      </c>
      <c r="G163" s="3" t="s">
        <v>643</v>
      </c>
      <c r="H163" s="7"/>
      <c r="I163" s="5">
        <v>11.355</v>
      </c>
      <c r="J163" s="3" t="s">
        <v>419</v>
      </c>
      <c r="K163" s="3" t="s">
        <v>420</v>
      </c>
      <c r="L163" s="3" t="s">
        <v>32</v>
      </c>
      <c r="M163" s="3" t="s">
        <v>644</v>
      </c>
      <c r="N163" s="8" t="str">
        <f>HYPERLINK("http://slimages.macys.com/is/image/MCY/8456184 ")</f>
        <v xml:space="preserve">http://slimages.macys.com/is/image/MCY/8456184 </v>
      </c>
    </row>
    <row r="164" spans="1:14" ht="72" x14ac:dyDescent="0.25">
      <c r="A164" s="7" t="s">
        <v>645</v>
      </c>
      <c r="B164" s="3" t="s">
        <v>646</v>
      </c>
      <c r="C164" s="4">
        <v>1</v>
      </c>
      <c r="D164" s="5">
        <v>22.5</v>
      </c>
      <c r="E164" s="5">
        <v>49.99</v>
      </c>
      <c r="F164" s="4" t="s">
        <v>647</v>
      </c>
      <c r="G164" s="3"/>
      <c r="H164" s="7"/>
      <c r="I164" s="5">
        <v>11.25</v>
      </c>
      <c r="J164" s="3" t="s">
        <v>47</v>
      </c>
      <c r="K164" s="3" t="s">
        <v>48</v>
      </c>
      <c r="L164" s="3" t="s">
        <v>32</v>
      </c>
      <c r="M164" s="3" t="s">
        <v>648</v>
      </c>
      <c r="N164" s="8" t="str">
        <f>HYPERLINK("http://slimages.macys.com/is/image/MCY/14803967 ")</f>
        <v xml:space="preserve">http://slimages.macys.com/is/image/MCY/14803967 </v>
      </c>
    </row>
    <row r="165" spans="1:14" ht="48" x14ac:dyDescent="0.25">
      <c r="A165" s="7" t="s">
        <v>649</v>
      </c>
      <c r="B165" s="3" t="s">
        <v>650</v>
      </c>
      <c r="C165" s="4">
        <v>1</v>
      </c>
      <c r="D165" s="5">
        <v>22.27</v>
      </c>
      <c r="E165" s="5">
        <v>79.989999999999995</v>
      </c>
      <c r="F165" s="4" t="s">
        <v>651</v>
      </c>
      <c r="G165" s="3" t="s">
        <v>114</v>
      </c>
      <c r="H165" s="7"/>
      <c r="I165" s="5">
        <v>11.135</v>
      </c>
      <c r="J165" s="3" t="s">
        <v>65</v>
      </c>
      <c r="K165" s="3" t="s">
        <v>307</v>
      </c>
      <c r="L165" s="3" t="s">
        <v>32</v>
      </c>
      <c r="M165" s="3" t="s">
        <v>303</v>
      </c>
      <c r="N165" s="8" t="str">
        <f>HYPERLINK("http://slimages.macys.com/is/image/MCY/9320893 ")</f>
        <v xml:space="preserve">http://slimages.macys.com/is/image/MCY/9320893 </v>
      </c>
    </row>
    <row r="166" spans="1:14" ht="48" x14ac:dyDescent="0.25">
      <c r="A166" s="7" t="s">
        <v>652</v>
      </c>
      <c r="B166" s="3" t="s">
        <v>653</v>
      </c>
      <c r="C166" s="4">
        <v>1</v>
      </c>
      <c r="D166" s="5">
        <v>19</v>
      </c>
      <c r="E166" s="5">
        <v>88.99</v>
      </c>
      <c r="F166" s="4" t="s">
        <v>654</v>
      </c>
      <c r="G166" s="3" t="s">
        <v>29</v>
      </c>
      <c r="H166" s="7" t="s">
        <v>655</v>
      </c>
      <c r="I166" s="5">
        <v>11.083333333333334</v>
      </c>
      <c r="J166" s="3" t="s">
        <v>80</v>
      </c>
      <c r="K166" s="3" t="s">
        <v>656</v>
      </c>
      <c r="L166" s="3" t="s">
        <v>32</v>
      </c>
      <c r="M166" s="3" t="s">
        <v>208</v>
      </c>
      <c r="N166" s="8" t="str">
        <f>HYPERLINK("http://slimages.macys.com/is/image/MCY/11586372 ")</f>
        <v xml:space="preserve">http://slimages.macys.com/is/image/MCY/11586372 </v>
      </c>
    </row>
    <row r="167" spans="1:14" ht="132" x14ac:dyDescent="0.25">
      <c r="A167" s="7" t="s">
        <v>657</v>
      </c>
      <c r="B167" s="3" t="s">
        <v>658</v>
      </c>
      <c r="C167" s="4">
        <v>1</v>
      </c>
      <c r="D167" s="5">
        <v>17.940000000000001</v>
      </c>
      <c r="E167" s="5">
        <v>34.99</v>
      </c>
      <c r="F167" s="4" t="s">
        <v>659</v>
      </c>
      <c r="G167" s="3" t="s">
        <v>59</v>
      </c>
      <c r="H167" s="7"/>
      <c r="I167" s="5">
        <v>11.063000000000001</v>
      </c>
      <c r="J167" s="3" t="s">
        <v>660</v>
      </c>
      <c r="K167" s="3" t="s">
        <v>48</v>
      </c>
      <c r="L167" s="3" t="s">
        <v>32</v>
      </c>
      <c r="M167" s="3" t="s">
        <v>661</v>
      </c>
      <c r="N167" s="8" t="str">
        <f>HYPERLINK("http://slimages.macys.com/is/image/MCY/9352146 ")</f>
        <v xml:space="preserve">http://slimages.macys.com/is/image/MCY/9352146 </v>
      </c>
    </row>
    <row r="168" spans="1:14" ht="60" x14ac:dyDescent="0.25">
      <c r="A168" s="7" t="s">
        <v>662</v>
      </c>
      <c r="B168" s="3" t="s">
        <v>663</v>
      </c>
      <c r="C168" s="4">
        <v>1</v>
      </c>
      <c r="D168" s="5">
        <v>22</v>
      </c>
      <c r="E168" s="5">
        <v>64.989999999999995</v>
      </c>
      <c r="F168" s="4" t="s">
        <v>664</v>
      </c>
      <c r="G168" s="3" t="s">
        <v>628</v>
      </c>
      <c r="H168" s="7"/>
      <c r="I168" s="5">
        <v>11</v>
      </c>
      <c r="J168" s="3" t="s">
        <v>47</v>
      </c>
      <c r="K168" s="3" t="s">
        <v>665</v>
      </c>
      <c r="L168" s="3" t="s">
        <v>32</v>
      </c>
      <c r="M168" s="3" t="s">
        <v>666</v>
      </c>
      <c r="N168" s="8" t="str">
        <f>HYPERLINK("http://slimages.macys.com/is/image/MCY/12678055 ")</f>
        <v xml:space="preserve">http://slimages.macys.com/is/image/MCY/12678055 </v>
      </c>
    </row>
    <row r="169" spans="1:14" ht="48" x14ac:dyDescent="0.25">
      <c r="A169" s="7" t="s">
        <v>667</v>
      </c>
      <c r="B169" s="3" t="s">
        <v>668</v>
      </c>
      <c r="C169" s="4">
        <v>1</v>
      </c>
      <c r="D169" s="5">
        <v>21.85</v>
      </c>
      <c r="E169" s="5">
        <v>49.99</v>
      </c>
      <c r="F169" s="4">
        <v>16718138</v>
      </c>
      <c r="G169" s="3" t="s">
        <v>559</v>
      </c>
      <c r="H169" s="7"/>
      <c r="I169" s="5">
        <v>10.925000000000001</v>
      </c>
      <c r="J169" s="3" t="s">
        <v>256</v>
      </c>
      <c r="K169" s="3" t="s">
        <v>560</v>
      </c>
      <c r="L169" s="3" t="s">
        <v>32</v>
      </c>
      <c r="M169" s="3" t="s">
        <v>669</v>
      </c>
      <c r="N169" s="8" t="str">
        <f>HYPERLINK("http://slimages.macys.com/is/image/MCY/3073694 ")</f>
        <v xml:space="preserve">http://slimages.macys.com/is/image/MCY/3073694 </v>
      </c>
    </row>
    <row r="170" spans="1:14" ht="48" x14ac:dyDescent="0.25">
      <c r="A170" s="7" t="s">
        <v>670</v>
      </c>
      <c r="B170" s="3" t="s">
        <v>671</v>
      </c>
      <c r="C170" s="4">
        <v>1</v>
      </c>
      <c r="D170" s="5">
        <v>21.85</v>
      </c>
      <c r="E170" s="5">
        <v>49.99</v>
      </c>
      <c r="F170" s="4">
        <v>16718938</v>
      </c>
      <c r="G170" s="3" t="s">
        <v>559</v>
      </c>
      <c r="H170" s="7"/>
      <c r="I170" s="5">
        <v>10.925000000000001</v>
      </c>
      <c r="J170" s="3" t="s">
        <v>256</v>
      </c>
      <c r="K170" s="3" t="s">
        <v>560</v>
      </c>
      <c r="L170" s="3" t="s">
        <v>32</v>
      </c>
      <c r="M170" s="3" t="s">
        <v>303</v>
      </c>
      <c r="N170" s="8" t="str">
        <f>HYPERLINK("http://slimages.macys.com/is/image/MCY/3073694 ")</f>
        <v xml:space="preserve">http://slimages.macys.com/is/image/MCY/3073694 </v>
      </c>
    </row>
    <row r="171" spans="1:14" ht="72" x14ac:dyDescent="0.25">
      <c r="A171" s="7" t="s">
        <v>672</v>
      </c>
      <c r="B171" s="3" t="s">
        <v>673</v>
      </c>
      <c r="C171" s="4">
        <v>2</v>
      </c>
      <c r="D171" s="5">
        <v>18.670000000000002</v>
      </c>
      <c r="E171" s="5">
        <v>44.99</v>
      </c>
      <c r="F171" s="4" t="s">
        <v>674</v>
      </c>
      <c r="G171" s="3" t="s">
        <v>59</v>
      </c>
      <c r="H171" s="7"/>
      <c r="I171" s="5">
        <v>10.890833333333335</v>
      </c>
      <c r="J171" s="3" t="s">
        <v>80</v>
      </c>
      <c r="K171" s="3" t="s">
        <v>48</v>
      </c>
      <c r="L171" s="3" t="s">
        <v>32</v>
      </c>
      <c r="M171" s="3" t="s">
        <v>675</v>
      </c>
      <c r="N171" s="8" t="str">
        <f>HYPERLINK("http://slimages.macys.com/is/image/MCY/8810137 ")</f>
        <v xml:space="preserve">http://slimages.macys.com/is/image/MCY/8810137 </v>
      </c>
    </row>
    <row r="172" spans="1:14" ht="48" x14ac:dyDescent="0.25">
      <c r="A172" s="7" t="s">
        <v>676</v>
      </c>
      <c r="B172" s="3" t="s">
        <v>677</v>
      </c>
      <c r="C172" s="4">
        <v>1</v>
      </c>
      <c r="D172" s="5">
        <v>21.75</v>
      </c>
      <c r="E172" s="5">
        <v>57.99</v>
      </c>
      <c r="F172" s="4" t="s">
        <v>678</v>
      </c>
      <c r="G172" s="3" t="s">
        <v>679</v>
      </c>
      <c r="H172" s="7"/>
      <c r="I172" s="5">
        <v>10.875000000000002</v>
      </c>
      <c r="J172" s="3" t="s">
        <v>47</v>
      </c>
      <c r="K172" s="3" t="s">
        <v>680</v>
      </c>
      <c r="L172" s="3" t="s">
        <v>32</v>
      </c>
      <c r="M172" s="3" t="s">
        <v>208</v>
      </c>
      <c r="N172" s="8" t="str">
        <f>HYPERLINK("http://slimages.macys.com/is/image/MCY/12281507 ")</f>
        <v xml:space="preserve">http://slimages.macys.com/is/image/MCY/12281507 </v>
      </c>
    </row>
    <row r="173" spans="1:14" ht="60" x14ac:dyDescent="0.25">
      <c r="A173" s="7" t="s">
        <v>681</v>
      </c>
      <c r="B173" s="3" t="s">
        <v>682</v>
      </c>
      <c r="C173" s="4">
        <v>10</v>
      </c>
      <c r="D173" s="5">
        <v>21.72</v>
      </c>
      <c r="E173" s="5">
        <v>79.989999999999995</v>
      </c>
      <c r="F173" s="4">
        <v>100003975</v>
      </c>
      <c r="G173" s="3" t="s">
        <v>64</v>
      </c>
      <c r="H173" s="7" t="s">
        <v>683</v>
      </c>
      <c r="I173" s="5">
        <v>10.860000000000001</v>
      </c>
      <c r="J173" s="3" t="s">
        <v>65</v>
      </c>
      <c r="K173" s="3" t="s">
        <v>277</v>
      </c>
      <c r="L173" s="3" t="s">
        <v>32</v>
      </c>
      <c r="M173" s="3" t="s">
        <v>684</v>
      </c>
      <c r="N173" s="8" t="str">
        <f>HYPERLINK("http://slimages.macys.com/is/image/MCY/12277365 ")</f>
        <v xml:space="preserve">http://slimages.macys.com/is/image/MCY/12277365 </v>
      </c>
    </row>
    <row r="174" spans="1:14" ht="60" x14ac:dyDescent="0.25">
      <c r="A174" s="7" t="s">
        <v>681</v>
      </c>
      <c r="B174" s="3" t="s">
        <v>682</v>
      </c>
      <c r="C174" s="4">
        <v>1</v>
      </c>
      <c r="D174" s="5">
        <v>21.72</v>
      </c>
      <c r="E174" s="5">
        <v>79.989999999999995</v>
      </c>
      <c r="F174" s="4">
        <v>100003975</v>
      </c>
      <c r="G174" s="3" t="s">
        <v>64</v>
      </c>
      <c r="H174" s="7" t="s">
        <v>683</v>
      </c>
      <c r="I174" s="5">
        <v>10.860000000000001</v>
      </c>
      <c r="J174" s="3" t="s">
        <v>65</v>
      </c>
      <c r="K174" s="3" t="s">
        <v>277</v>
      </c>
      <c r="L174" s="3" t="s">
        <v>32</v>
      </c>
      <c r="M174" s="3" t="s">
        <v>684</v>
      </c>
      <c r="N174" s="8" t="str">
        <f>HYPERLINK("http://slimages.macys.com/is/image/MCY/12277365 ")</f>
        <v xml:space="preserve">http://slimages.macys.com/is/image/MCY/12277365 </v>
      </c>
    </row>
    <row r="175" spans="1:14" ht="48" x14ac:dyDescent="0.25">
      <c r="A175" s="7" t="s">
        <v>685</v>
      </c>
      <c r="B175" s="3" t="s">
        <v>686</v>
      </c>
      <c r="C175" s="4">
        <v>6</v>
      </c>
      <c r="D175" s="5">
        <v>18.29</v>
      </c>
      <c r="E175" s="5">
        <v>53.99</v>
      </c>
      <c r="F175" s="4" t="s">
        <v>687</v>
      </c>
      <c r="G175" s="3" t="s">
        <v>154</v>
      </c>
      <c r="H175" s="7"/>
      <c r="I175" s="5">
        <v>10.669166666666667</v>
      </c>
      <c r="J175" s="3" t="s">
        <v>80</v>
      </c>
      <c r="K175" s="3" t="s">
        <v>688</v>
      </c>
      <c r="L175" s="3" t="s">
        <v>32</v>
      </c>
      <c r="M175" s="3" t="s">
        <v>188</v>
      </c>
      <c r="N175" s="8" t="str">
        <f>HYPERLINK("http://slimages.macys.com/is/image/MCY/11685976 ")</f>
        <v xml:space="preserve">http://slimages.macys.com/is/image/MCY/11685976 </v>
      </c>
    </row>
    <row r="176" spans="1:14" ht="48" x14ac:dyDescent="0.25">
      <c r="A176" s="7" t="s">
        <v>685</v>
      </c>
      <c r="B176" s="3" t="s">
        <v>686</v>
      </c>
      <c r="C176" s="4">
        <v>1</v>
      </c>
      <c r="D176" s="5">
        <v>18.29</v>
      </c>
      <c r="E176" s="5">
        <v>53.99</v>
      </c>
      <c r="F176" s="4" t="s">
        <v>687</v>
      </c>
      <c r="G176" s="3" t="s">
        <v>154</v>
      </c>
      <c r="H176" s="7"/>
      <c r="I176" s="5">
        <v>10.669166666666667</v>
      </c>
      <c r="J176" s="3" t="s">
        <v>80</v>
      </c>
      <c r="K176" s="3" t="s">
        <v>688</v>
      </c>
      <c r="L176" s="3" t="s">
        <v>32</v>
      </c>
      <c r="M176" s="3" t="s">
        <v>188</v>
      </c>
      <c r="N176" s="8" t="str">
        <f>HYPERLINK("http://slimages.macys.com/is/image/MCY/11685976 ")</f>
        <v xml:space="preserve">http://slimages.macys.com/is/image/MCY/11685976 </v>
      </c>
    </row>
    <row r="177" spans="1:14" ht="48" x14ac:dyDescent="0.25">
      <c r="A177" s="7" t="s">
        <v>689</v>
      </c>
      <c r="B177" s="3" t="s">
        <v>690</v>
      </c>
      <c r="C177" s="4">
        <v>1</v>
      </c>
      <c r="D177" s="5">
        <v>18.29</v>
      </c>
      <c r="E177" s="5">
        <v>53.99</v>
      </c>
      <c r="F177" s="4" t="s">
        <v>691</v>
      </c>
      <c r="G177" s="3" t="s">
        <v>59</v>
      </c>
      <c r="H177" s="7"/>
      <c r="I177" s="5">
        <v>10.669166666666667</v>
      </c>
      <c r="J177" s="3" t="s">
        <v>80</v>
      </c>
      <c r="K177" s="3" t="s">
        <v>688</v>
      </c>
      <c r="L177" s="3" t="s">
        <v>32</v>
      </c>
      <c r="M177" s="3" t="s">
        <v>188</v>
      </c>
      <c r="N177" s="8" t="str">
        <f>HYPERLINK("http://slimages.macys.com/is/image/MCY/11685976 ")</f>
        <v xml:space="preserve">http://slimages.macys.com/is/image/MCY/11685976 </v>
      </c>
    </row>
    <row r="178" spans="1:14" ht="60" x14ac:dyDescent="0.25">
      <c r="A178" s="7" t="s">
        <v>692</v>
      </c>
      <c r="B178" s="3" t="s">
        <v>693</v>
      </c>
      <c r="C178" s="4">
        <v>1</v>
      </c>
      <c r="D178" s="5">
        <v>18</v>
      </c>
      <c r="E178" s="5">
        <v>44.99</v>
      </c>
      <c r="F178" s="4" t="s">
        <v>694</v>
      </c>
      <c r="G178" s="3" t="s">
        <v>695</v>
      </c>
      <c r="H178" s="7" t="s">
        <v>601</v>
      </c>
      <c r="I178" s="5">
        <v>10.5</v>
      </c>
      <c r="J178" s="3" t="s">
        <v>80</v>
      </c>
      <c r="K178" s="3" t="s">
        <v>696</v>
      </c>
      <c r="L178" s="3" t="s">
        <v>118</v>
      </c>
      <c r="M178" s="3" t="s">
        <v>697</v>
      </c>
      <c r="N178" s="8" t="str">
        <f>HYPERLINK("http://slimages.macys.com/is/image/MCY/9603806 ")</f>
        <v xml:space="preserve">http://slimages.macys.com/is/image/MCY/9603806 </v>
      </c>
    </row>
    <row r="179" spans="1:14" ht="48" x14ac:dyDescent="0.25">
      <c r="A179" s="7" t="s">
        <v>698</v>
      </c>
      <c r="B179" s="3" t="s">
        <v>699</v>
      </c>
      <c r="C179" s="4">
        <v>1</v>
      </c>
      <c r="D179" s="5">
        <v>17.920000000000002</v>
      </c>
      <c r="E179" s="5">
        <v>37.99</v>
      </c>
      <c r="F179" s="4" t="s">
        <v>700</v>
      </c>
      <c r="G179" s="3" t="s">
        <v>53</v>
      </c>
      <c r="H179" s="7" t="s">
        <v>683</v>
      </c>
      <c r="I179" s="5">
        <v>10.453333333333335</v>
      </c>
      <c r="J179" s="3" t="s">
        <v>80</v>
      </c>
      <c r="K179" s="3" t="s">
        <v>48</v>
      </c>
      <c r="L179" s="3" t="s">
        <v>32</v>
      </c>
      <c r="M179" s="3" t="s">
        <v>701</v>
      </c>
      <c r="N179" s="8" t="str">
        <f>HYPERLINK("http://slimages.macys.com/is/image/MCY/9602308 ")</f>
        <v xml:space="preserve">http://slimages.macys.com/is/image/MCY/9602308 </v>
      </c>
    </row>
    <row r="180" spans="1:14" ht="48" x14ac:dyDescent="0.25">
      <c r="A180" s="7" t="s">
        <v>702</v>
      </c>
      <c r="B180" s="3" t="s">
        <v>703</v>
      </c>
      <c r="C180" s="4">
        <v>2</v>
      </c>
      <c r="D180" s="5">
        <v>17.920000000000002</v>
      </c>
      <c r="E180" s="5">
        <v>37.99</v>
      </c>
      <c r="F180" s="4" t="s">
        <v>704</v>
      </c>
      <c r="G180" s="3" t="s">
        <v>114</v>
      </c>
      <c r="H180" s="7" t="s">
        <v>683</v>
      </c>
      <c r="I180" s="5">
        <v>10.453333333333335</v>
      </c>
      <c r="J180" s="3" t="s">
        <v>80</v>
      </c>
      <c r="K180" s="3" t="s">
        <v>48</v>
      </c>
      <c r="L180" s="3" t="s">
        <v>32</v>
      </c>
      <c r="M180" s="3" t="s">
        <v>701</v>
      </c>
      <c r="N180" s="8" t="str">
        <f>HYPERLINK("http://slimages.macys.com/is/image/MCY/9602308 ")</f>
        <v xml:space="preserve">http://slimages.macys.com/is/image/MCY/9602308 </v>
      </c>
    </row>
    <row r="181" spans="1:14" ht="60" x14ac:dyDescent="0.25">
      <c r="A181" s="7" t="s">
        <v>705</v>
      </c>
      <c r="B181" s="3" t="s">
        <v>706</v>
      </c>
      <c r="C181" s="4">
        <v>2</v>
      </c>
      <c r="D181" s="5">
        <v>20.88</v>
      </c>
      <c r="E181" s="5">
        <v>49.99</v>
      </c>
      <c r="F181" s="4" t="s">
        <v>707</v>
      </c>
      <c r="G181" s="3" t="s">
        <v>59</v>
      </c>
      <c r="H181" s="7" t="s">
        <v>708</v>
      </c>
      <c r="I181" s="5">
        <v>10.440000000000001</v>
      </c>
      <c r="J181" s="3" t="s">
        <v>256</v>
      </c>
      <c r="K181" s="3" t="s">
        <v>709</v>
      </c>
      <c r="L181" s="3" t="s">
        <v>710</v>
      </c>
      <c r="M181" s="3"/>
      <c r="N181" s="8" t="str">
        <f>HYPERLINK("http://slimages.macys.com/is/image/MCY/12775379 ")</f>
        <v xml:space="preserve">http://slimages.macys.com/is/image/MCY/12775379 </v>
      </c>
    </row>
    <row r="182" spans="1:14" ht="48" x14ac:dyDescent="0.25">
      <c r="A182" s="7" t="s">
        <v>711</v>
      </c>
      <c r="B182" s="3" t="s">
        <v>712</v>
      </c>
      <c r="C182" s="4">
        <v>2</v>
      </c>
      <c r="D182" s="5">
        <v>20.75</v>
      </c>
      <c r="E182" s="5">
        <v>49.99</v>
      </c>
      <c r="F182" s="4" t="s">
        <v>713</v>
      </c>
      <c r="G182" s="3" t="s">
        <v>59</v>
      </c>
      <c r="H182" s="7"/>
      <c r="I182" s="5">
        <v>10.375</v>
      </c>
      <c r="J182" s="3" t="s">
        <v>549</v>
      </c>
      <c r="K182" s="3" t="s">
        <v>550</v>
      </c>
      <c r="L182" s="3"/>
      <c r="M182" s="3"/>
      <c r="N182" s="8" t="str">
        <f>HYPERLINK("http://slimages.macys.com/is/image/MCY/16524423 ")</f>
        <v xml:space="preserve">http://slimages.macys.com/is/image/MCY/16524423 </v>
      </c>
    </row>
    <row r="183" spans="1:14" ht="48" x14ac:dyDescent="0.25">
      <c r="A183" s="7" t="s">
        <v>714</v>
      </c>
      <c r="B183" s="3" t="s">
        <v>715</v>
      </c>
      <c r="C183" s="4">
        <v>1</v>
      </c>
      <c r="D183" s="5">
        <v>17.75</v>
      </c>
      <c r="E183" s="5">
        <v>39.99</v>
      </c>
      <c r="F183" s="4" t="s">
        <v>716</v>
      </c>
      <c r="G183" s="3" t="s">
        <v>59</v>
      </c>
      <c r="H183" s="7"/>
      <c r="I183" s="5">
        <v>10.354166666666668</v>
      </c>
      <c r="J183" s="3" t="s">
        <v>80</v>
      </c>
      <c r="K183" s="3" t="s">
        <v>717</v>
      </c>
      <c r="L183" s="3" t="s">
        <v>32</v>
      </c>
      <c r="M183" s="3"/>
      <c r="N183" s="8" t="str">
        <f>HYPERLINK("http://slimages.macys.com/is/image/MCY/10542101 ")</f>
        <v xml:space="preserve">http://slimages.macys.com/is/image/MCY/10542101 </v>
      </c>
    </row>
    <row r="184" spans="1:14" ht="60" x14ac:dyDescent="0.25">
      <c r="A184" s="7" t="s">
        <v>718</v>
      </c>
      <c r="B184" s="3" t="s">
        <v>719</v>
      </c>
      <c r="C184" s="4">
        <v>1</v>
      </c>
      <c r="D184" s="5">
        <v>17.739999999999998</v>
      </c>
      <c r="E184" s="5">
        <v>59.99</v>
      </c>
      <c r="F184" s="4" t="s">
        <v>720</v>
      </c>
      <c r="G184" s="3" t="s">
        <v>476</v>
      </c>
      <c r="H184" s="7"/>
      <c r="I184" s="5">
        <v>10.348333333333333</v>
      </c>
      <c r="J184" s="3" t="s">
        <v>71</v>
      </c>
      <c r="K184" s="3" t="s">
        <v>415</v>
      </c>
      <c r="L184" s="3" t="s">
        <v>32</v>
      </c>
      <c r="M184" s="3" t="s">
        <v>721</v>
      </c>
      <c r="N184" s="8" t="str">
        <f>HYPERLINK("http://slimages.macys.com/is/image/MCY/10035084 ")</f>
        <v xml:space="preserve">http://slimages.macys.com/is/image/MCY/10035084 </v>
      </c>
    </row>
    <row r="185" spans="1:14" ht="60" x14ac:dyDescent="0.25">
      <c r="A185" s="7" t="s">
        <v>722</v>
      </c>
      <c r="B185" s="3" t="s">
        <v>723</v>
      </c>
      <c r="C185" s="4">
        <v>1</v>
      </c>
      <c r="D185" s="5">
        <v>17.739999999999998</v>
      </c>
      <c r="E185" s="5">
        <v>59.99</v>
      </c>
      <c r="F185" s="4" t="s">
        <v>720</v>
      </c>
      <c r="G185" s="3" t="s">
        <v>252</v>
      </c>
      <c r="H185" s="7"/>
      <c r="I185" s="5">
        <v>10.348333333333333</v>
      </c>
      <c r="J185" s="3" t="s">
        <v>71</v>
      </c>
      <c r="K185" s="3" t="s">
        <v>415</v>
      </c>
      <c r="L185" s="3" t="s">
        <v>32</v>
      </c>
      <c r="M185" s="3" t="s">
        <v>721</v>
      </c>
      <c r="N185" s="8" t="str">
        <f>HYPERLINK("http://slimages.macys.com/is/image/MCY/10035084 ")</f>
        <v xml:space="preserve">http://slimages.macys.com/is/image/MCY/10035084 </v>
      </c>
    </row>
    <row r="186" spans="1:14" ht="60" x14ac:dyDescent="0.25">
      <c r="A186" s="7" t="s">
        <v>724</v>
      </c>
      <c r="B186" s="3" t="s">
        <v>725</v>
      </c>
      <c r="C186" s="4">
        <v>1</v>
      </c>
      <c r="D186" s="5">
        <v>20.63</v>
      </c>
      <c r="E186" s="5">
        <v>79.989999999999995</v>
      </c>
      <c r="F186" s="4">
        <v>10004175700</v>
      </c>
      <c r="G186" s="3" t="s">
        <v>252</v>
      </c>
      <c r="H186" s="7" t="s">
        <v>285</v>
      </c>
      <c r="I186" s="5">
        <v>10.315000000000001</v>
      </c>
      <c r="J186" s="3" t="s">
        <v>65</v>
      </c>
      <c r="K186" s="3" t="s">
        <v>277</v>
      </c>
      <c r="L186" s="3" t="s">
        <v>32</v>
      </c>
      <c r="M186" s="3"/>
      <c r="N186" s="8" t="str">
        <f>HYPERLINK("http://slimages.macys.com/is/image/MCY/12072108 ")</f>
        <v xml:space="preserve">http://slimages.macys.com/is/image/MCY/12072108 </v>
      </c>
    </row>
    <row r="187" spans="1:14" ht="48" x14ac:dyDescent="0.25">
      <c r="A187" s="7" t="s">
        <v>726</v>
      </c>
      <c r="B187" s="3" t="s">
        <v>727</v>
      </c>
      <c r="C187" s="4">
        <v>2</v>
      </c>
      <c r="D187" s="5">
        <v>20.52</v>
      </c>
      <c r="E187" s="5">
        <v>79.989999999999995</v>
      </c>
      <c r="F187" s="4" t="s">
        <v>728</v>
      </c>
      <c r="G187" s="3" t="s">
        <v>114</v>
      </c>
      <c r="H187" s="7"/>
      <c r="I187" s="5">
        <v>10.26</v>
      </c>
      <c r="J187" s="3" t="s">
        <v>65</v>
      </c>
      <c r="K187" s="3" t="s">
        <v>66</v>
      </c>
      <c r="L187" s="3" t="s">
        <v>32</v>
      </c>
      <c r="M187" s="3"/>
      <c r="N187" s="8" t="str">
        <f>HYPERLINK("http://slimages.macys.com/is/image/MCY/12873898 ")</f>
        <v xml:space="preserve">http://slimages.macys.com/is/image/MCY/12873898 </v>
      </c>
    </row>
    <row r="188" spans="1:14" ht="48" x14ac:dyDescent="0.25">
      <c r="A188" s="7" t="s">
        <v>726</v>
      </c>
      <c r="B188" s="3" t="s">
        <v>727</v>
      </c>
      <c r="C188" s="4">
        <v>1</v>
      </c>
      <c r="D188" s="5">
        <v>20.52</v>
      </c>
      <c r="E188" s="5">
        <v>79.989999999999995</v>
      </c>
      <c r="F188" s="4" t="s">
        <v>728</v>
      </c>
      <c r="G188" s="3" t="s">
        <v>114</v>
      </c>
      <c r="H188" s="7"/>
      <c r="I188" s="5">
        <v>10.26</v>
      </c>
      <c r="J188" s="3" t="s">
        <v>65</v>
      </c>
      <c r="K188" s="3" t="s">
        <v>66</v>
      </c>
      <c r="L188" s="3" t="s">
        <v>32</v>
      </c>
      <c r="M188" s="3"/>
      <c r="N188" s="8" t="str">
        <f>HYPERLINK("http://slimages.macys.com/is/image/MCY/12873898 ")</f>
        <v xml:space="preserve">http://slimages.macys.com/is/image/MCY/12873898 </v>
      </c>
    </row>
    <row r="189" spans="1:14" ht="48" x14ac:dyDescent="0.25">
      <c r="A189" s="7" t="s">
        <v>729</v>
      </c>
      <c r="B189" s="3" t="s">
        <v>730</v>
      </c>
      <c r="C189" s="4">
        <v>1</v>
      </c>
      <c r="D189" s="5">
        <v>17.5</v>
      </c>
      <c r="E189" s="5">
        <v>34.99</v>
      </c>
      <c r="F189" s="4" t="s">
        <v>731</v>
      </c>
      <c r="G189" s="3" t="s">
        <v>114</v>
      </c>
      <c r="H189" s="7" t="s">
        <v>683</v>
      </c>
      <c r="I189" s="5">
        <v>10.208333333333334</v>
      </c>
      <c r="J189" s="3" t="s">
        <v>80</v>
      </c>
      <c r="K189" s="3" t="s">
        <v>732</v>
      </c>
      <c r="L189" s="3"/>
      <c r="M189" s="3"/>
      <c r="N189" s="8" t="str">
        <f>HYPERLINK("http://slimages.macys.com/is/image/MCY/17061891 ")</f>
        <v xml:space="preserve">http://slimages.macys.com/is/image/MCY/17061891 </v>
      </c>
    </row>
    <row r="190" spans="1:14" ht="48" x14ac:dyDescent="0.25">
      <c r="A190" s="7" t="s">
        <v>733</v>
      </c>
      <c r="B190" s="3" t="s">
        <v>734</v>
      </c>
      <c r="C190" s="4">
        <v>1</v>
      </c>
      <c r="D190" s="5">
        <v>16.5</v>
      </c>
      <c r="E190" s="5">
        <v>34.99</v>
      </c>
      <c r="F190" s="4" t="s">
        <v>735</v>
      </c>
      <c r="G190" s="3" t="s">
        <v>114</v>
      </c>
      <c r="H190" s="7" t="s">
        <v>655</v>
      </c>
      <c r="I190" s="5">
        <v>10.175000000000001</v>
      </c>
      <c r="J190" s="3" t="s">
        <v>380</v>
      </c>
      <c r="K190" s="3" t="s">
        <v>736</v>
      </c>
      <c r="L190" s="3" t="s">
        <v>32</v>
      </c>
      <c r="M190" s="3" t="s">
        <v>208</v>
      </c>
      <c r="N190" s="8" t="str">
        <f>HYPERLINK("http://slimages.macys.com/is/image/MCY/1571457 ")</f>
        <v xml:space="preserve">http://slimages.macys.com/is/image/MCY/1571457 </v>
      </c>
    </row>
    <row r="191" spans="1:14" ht="48" x14ac:dyDescent="0.25">
      <c r="A191" s="7" t="s">
        <v>737</v>
      </c>
      <c r="B191" s="3" t="s">
        <v>738</v>
      </c>
      <c r="C191" s="4">
        <v>2</v>
      </c>
      <c r="D191" s="5">
        <v>20.329999999999998</v>
      </c>
      <c r="E191" s="5">
        <v>55.99</v>
      </c>
      <c r="F191" s="4" t="s">
        <v>739</v>
      </c>
      <c r="G191" s="3" t="s">
        <v>393</v>
      </c>
      <c r="H191" s="7"/>
      <c r="I191" s="5">
        <v>10.165000000000001</v>
      </c>
      <c r="J191" s="3" t="s">
        <v>47</v>
      </c>
      <c r="K191" s="3" t="s">
        <v>355</v>
      </c>
      <c r="L191" s="3" t="s">
        <v>32</v>
      </c>
      <c r="M191" s="3" t="s">
        <v>208</v>
      </c>
      <c r="N191" s="8" t="str">
        <f>HYPERLINK("http://slimages.macys.com/is/image/MCY/16149495 ")</f>
        <v xml:space="preserve">http://slimages.macys.com/is/image/MCY/16149495 </v>
      </c>
    </row>
    <row r="192" spans="1:14" ht="48" x14ac:dyDescent="0.25">
      <c r="A192" s="7" t="s">
        <v>740</v>
      </c>
      <c r="B192" s="3" t="s">
        <v>741</v>
      </c>
      <c r="C192" s="4">
        <v>1</v>
      </c>
      <c r="D192" s="5">
        <v>20.02</v>
      </c>
      <c r="E192" s="5">
        <v>39.99</v>
      </c>
      <c r="F192" s="4" t="s">
        <v>742</v>
      </c>
      <c r="G192" s="3" t="s">
        <v>319</v>
      </c>
      <c r="H192" s="7"/>
      <c r="I192" s="5">
        <v>10.010000000000002</v>
      </c>
      <c r="J192" s="3" t="s">
        <v>186</v>
      </c>
      <c r="K192" s="3" t="s">
        <v>187</v>
      </c>
      <c r="L192" s="3" t="s">
        <v>32</v>
      </c>
      <c r="M192" s="3" t="s">
        <v>188</v>
      </c>
      <c r="N192" s="8" t="str">
        <f>HYPERLINK("http://slimages.macys.com/is/image/MCY/11719569 ")</f>
        <v xml:space="preserve">http://slimages.macys.com/is/image/MCY/11719569 </v>
      </c>
    </row>
    <row r="193" spans="1:14" ht="48" x14ac:dyDescent="0.25">
      <c r="A193" s="7" t="s">
        <v>743</v>
      </c>
      <c r="B193" s="3" t="s">
        <v>744</v>
      </c>
      <c r="C193" s="4">
        <v>1</v>
      </c>
      <c r="D193" s="5">
        <v>19.989999999999998</v>
      </c>
      <c r="E193" s="5">
        <v>44.99</v>
      </c>
      <c r="F193" s="4" t="s">
        <v>745</v>
      </c>
      <c r="G193" s="3" t="s">
        <v>29</v>
      </c>
      <c r="H193" s="7"/>
      <c r="I193" s="5">
        <v>9.995000000000001</v>
      </c>
      <c r="J193" s="3" t="s">
        <v>549</v>
      </c>
      <c r="K193" s="3" t="s">
        <v>746</v>
      </c>
      <c r="L193" s="3" t="s">
        <v>32</v>
      </c>
      <c r="M193" s="3" t="s">
        <v>303</v>
      </c>
      <c r="N193" s="8" t="str">
        <f>HYPERLINK("http://slimages.macys.com/is/image/MCY/3995435 ")</f>
        <v xml:space="preserve">http://slimages.macys.com/is/image/MCY/3995435 </v>
      </c>
    </row>
    <row r="194" spans="1:14" ht="48" x14ac:dyDescent="0.25">
      <c r="A194" s="7" t="s">
        <v>747</v>
      </c>
      <c r="B194" s="3" t="s">
        <v>748</v>
      </c>
      <c r="C194" s="4">
        <v>2</v>
      </c>
      <c r="D194" s="5">
        <v>17.11</v>
      </c>
      <c r="E194" s="5">
        <v>40.99</v>
      </c>
      <c r="F194" s="4" t="s">
        <v>749</v>
      </c>
      <c r="G194" s="3" t="s">
        <v>114</v>
      </c>
      <c r="H194" s="7"/>
      <c r="I194" s="5">
        <v>9.9808333333333348</v>
      </c>
      <c r="J194" s="3" t="s">
        <v>80</v>
      </c>
      <c r="K194" s="3" t="s">
        <v>48</v>
      </c>
      <c r="L194" s="3" t="s">
        <v>32</v>
      </c>
      <c r="M194" s="3"/>
      <c r="N194" s="8" t="str">
        <f>HYPERLINK("http://slimages.macys.com/is/image/MCY/9192504 ")</f>
        <v xml:space="preserve">http://slimages.macys.com/is/image/MCY/9192504 </v>
      </c>
    </row>
    <row r="195" spans="1:14" ht="48" x14ac:dyDescent="0.25">
      <c r="A195" s="7" t="s">
        <v>747</v>
      </c>
      <c r="B195" s="3" t="s">
        <v>748</v>
      </c>
      <c r="C195" s="4">
        <v>1</v>
      </c>
      <c r="D195" s="5">
        <v>17.11</v>
      </c>
      <c r="E195" s="5">
        <v>40.99</v>
      </c>
      <c r="F195" s="4" t="s">
        <v>749</v>
      </c>
      <c r="G195" s="3" t="s">
        <v>114</v>
      </c>
      <c r="H195" s="7"/>
      <c r="I195" s="5">
        <v>9.9808333333333348</v>
      </c>
      <c r="J195" s="3" t="s">
        <v>80</v>
      </c>
      <c r="K195" s="3" t="s">
        <v>48</v>
      </c>
      <c r="L195" s="3" t="s">
        <v>32</v>
      </c>
      <c r="M195" s="3"/>
      <c r="N195" s="8" t="str">
        <f>HYPERLINK("http://slimages.macys.com/is/image/MCY/9192504 ")</f>
        <v xml:space="preserve">http://slimages.macys.com/is/image/MCY/9192504 </v>
      </c>
    </row>
    <row r="196" spans="1:14" ht="108" x14ac:dyDescent="0.25">
      <c r="A196" s="7" t="s">
        <v>750</v>
      </c>
      <c r="B196" s="3" t="s">
        <v>751</v>
      </c>
      <c r="C196" s="4">
        <v>1</v>
      </c>
      <c r="D196" s="5">
        <v>19.89</v>
      </c>
      <c r="E196" s="5">
        <v>79.989999999999995</v>
      </c>
      <c r="F196" s="4" t="s">
        <v>752</v>
      </c>
      <c r="G196" s="3" t="s">
        <v>205</v>
      </c>
      <c r="H196" s="7"/>
      <c r="I196" s="5">
        <v>9.9450000000000003</v>
      </c>
      <c r="J196" s="3" t="s">
        <v>65</v>
      </c>
      <c r="K196" s="3" t="s">
        <v>307</v>
      </c>
      <c r="L196" s="3" t="s">
        <v>32</v>
      </c>
      <c r="M196" s="3" t="s">
        <v>448</v>
      </c>
      <c r="N196" s="8" t="str">
        <f>HYPERLINK("http://slimages.macys.com/is/image/MCY/13966618 ")</f>
        <v xml:space="preserve">http://slimages.macys.com/is/image/MCY/13966618 </v>
      </c>
    </row>
    <row r="197" spans="1:14" ht="60" x14ac:dyDescent="0.25">
      <c r="A197" s="7" t="s">
        <v>753</v>
      </c>
      <c r="B197" s="3" t="s">
        <v>754</v>
      </c>
      <c r="C197" s="4">
        <v>1</v>
      </c>
      <c r="D197" s="5">
        <v>19.8</v>
      </c>
      <c r="E197" s="5">
        <v>49.99</v>
      </c>
      <c r="F197" s="4" t="s">
        <v>755</v>
      </c>
      <c r="G197" s="3" t="s">
        <v>114</v>
      </c>
      <c r="H197" s="7"/>
      <c r="I197" s="5">
        <v>9.9</v>
      </c>
      <c r="J197" s="3" t="s">
        <v>186</v>
      </c>
      <c r="K197" s="3" t="s">
        <v>756</v>
      </c>
      <c r="L197" s="3" t="s">
        <v>32</v>
      </c>
      <c r="M197" s="3" t="s">
        <v>73</v>
      </c>
      <c r="N197" s="8" t="str">
        <f>HYPERLINK("http://slimages.macys.com/is/image/MCY/3974631 ")</f>
        <v xml:space="preserve">http://slimages.macys.com/is/image/MCY/3974631 </v>
      </c>
    </row>
    <row r="198" spans="1:14" ht="60" x14ac:dyDescent="0.25">
      <c r="A198" s="7" t="s">
        <v>753</v>
      </c>
      <c r="B198" s="3" t="s">
        <v>754</v>
      </c>
      <c r="C198" s="4">
        <v>1</v>
      </c>
      <c r="D198" s="5">
        <v>19.8</v>
      </c>
      <c r="E198" s="5">
        <v>49.99</v>
      </c>
      <c r="F198" s="4" t="s">
        <v>755</v>
      </c>
      <c r="G198" s="3" t="s">
        <v>114</v>
      </c>
      <c r="H198" s="7"/>
      <c r="I198" s="5">
        <v>9.9</v>
      </c>
      <c r="J198" s="3" t="s">
        <v>186</v>
      </c>
      <c r="K198" s="3" t="s">
        <v>756</v>
      </c>
      <c r="L198" s="3" t="s">
        <v>32</v>
      </c>
      <c r="M198" s="3" t="s">
        <v>73</v>
      </c>
      <c r="N198" s="8" t="str">
        <f>HYPERLINK("http://slimages.macys.com/is/image/MCY/3974631 ")</f>
        <v xml:space="preserve">http://slimages.macys.com/is/image/MCY/3974631 </v>
      </c>
    </row>
    <row r="199" spans="1:14" ht="60" x14ac:dyDescent="0.25">
      <c r="A199" s="7" t="s">
        <v>757</v>
      </c>
      <c r="B199" s="3" t="s">
        <v>758</v>
      </c>
      <c r="C199" s="4">
        <v>2</v>
      </c>
      <c r="D199" s="5">
        <v>19.8</v>
      </c>
      <c r="E199" s="5">
        <v>49.99</v>
      </c>
      <c r="F199" s="4" t="s">
        <v>759</v>
      </c>
      <c r="G199" s="3" t="s">
        <v>114</v>
      </c>
      <c r="H199" s="7"/>
      <c r="I199" s="5">
        <v>9.9</v>
      </c>
      <c r="J199" s="3" t="s">
        <v>186</v>
      </c>
      <c r="K199" s="3" t="s">
        <v>756</v>
      </c>
      <c r="L199" s="3" t="s">
        <v>32</v>
      </c>
      <c r="M199" s="3" t="s">
        <v>208</v>
      </c>
      <c r="N199" s="8" t="str">
        <f>HYPERLINK("http://slimages.macys.com/is/image/MCY/3974630 ")</f>
        <v xml:space="preserve">http://slimages.macys.com/is/image/MCY/3974630 </v>
      </c>
    </row>
    <row r="200" spans="1:14" ht="72" x14ac:dyDescent="0.25">
      <c r="A200" s="7" t="s">
        <v>760</v>
      </c>
      <c r="B200" s="3" t="s">
        <v>761</v>
      </c>
      <c r="C200" s="4">
        <v>2</v>
      </c>
      <c r="D200" s="5">
        <v>19.7</v>
      </c>
      <c r="E200" s="5">
        <v>79.989999999999995</v>
      </c>
      <c r="F200" s="4" t="s">
        <v>762</v>
      </c>
      <c r="G200" s="3" t="s">
        <v>29</v>
      </c>
      <c r="H200" s="7"/>
      <c r="I200" s="5">
        <v>9.8500000000000014</v>
      </c>
      <c r="J200" s="3" t="s">
        <v>320</v>
      </c>
      <c r="K200" s="3" t="s">
        <v>491</v>
      </c>
      <c r="L200" s="3" t="s">
        <v>32</v>
      </c>
      <c r="M200" s="3" t="s">
        <v>763</v>
      </c>
      <c r="N200" s="8" t="str">
        <f>HYPERLINK("http://slimages.macys.com/is/image/MCY/11640170 ")</f>
        <v xml:space="preserve">http://slimages.macys.com/is/image/MCY/11640170 </v>
      </c>
    </row>
    <row r="201" spans="1:14" ht="72" x14ac:dyDescent="0.25">
      <c r="A201" s="7" t="s">
        <v>760</v>
      </c>
      <c r="B201" s="3" t="s">
        <v>761</v>
      </c>
      <c r="C201" s="4">
        <v>1</v>
      </c>
      <c r="D201" s="5">
        <v>19.7</v>
      </c>
      <c r="E201" s="5">
        <v>79.989999999999995</v>
      </c>
      <c r="F201" s="4" t="s">
        <v>762</v>
      </c>
      <c r="G201" s="3" t="s">
        <v>29</v>
      </c>
      <c r="H201" s="7"/>
      <c r="I201" s="5">
        <v>9.8500000000000014</v>
      </c>
      <c r="J201" s="3" t="s">
        <v>320</v>
      </c>
      <c r="K201" s="3" t="s">
        <v>491</v>
      </c>
      <c r="L201" s="3" t="s">
        <v>32</v>
      </c>
      <c r="M201" s="3" t="s">
        <v>763</v>
      </c>
      <c r="N201" s="8" t="str">
        <f>HYPERLINK("http://slimages.macys.com/is/image/MCY/11640170 ")</f>
        <v xml:space="preserve">http://slimages.macys.com/is/image/MCY/11640170 </v>
      </c>
    </row>
    <row r="202" spans="1:14" ht="72" x14ac:dyDescent="0.25">
      <c r="A202" s="7" t="s">
        <v>760</v>
      </c>
      <c r="B202" s="3" t="s">
        <v>761</v>
      </c>
      <c r="C202" s="4">
        <v>3</v>
      </c>
      <c r="D202" s="5">
        <v>19.7</v>
      </c>
      <c r="E202" s="5">
        <v>79.989999999999995</v>
      </c>
      <c r="F202" s="4" t="s">
        <v>762</v>
      </c>
      <c r="G202" s="3" t="s">
        <v>29</v>
      </c>
      <c r="H202" s="7"/>
      <c r="I202" s="5">
        <v>9.8500000000000014</v>
      </c>
      <c r="J202" s="3" t="s">
        <v>320</v>
      </c>
      <c r="K202" s="3" t="s">
        <v>491</v>
      </c>
      <c r="L202" s="3" t="s">
        <v>32</v>
      </c>
      <c r="M202" s="3" t="s">
        <v>763</v>
      </c>
      <c r="N202" s="8" t="str">
        <f>HYPERLINK("http://slimages.macys.com/is/image/MCY/11640170 ")</f>
        <v xml:space="preserve">http://slimages.macys.com/is/image/MCY/11640170 </v>
      </c>
    </row>
    <row r="203" spans="1:14" ht="48" x14ac:dyDescent="0.25">
      <c r="A203" s="7" t="s">
        <v>764</v>
      </c>
      <c r="B203" s="3" t="s">
        <v>765</v>
      </c>
      <c r="C203" s="4">
        <v>2</v>
      </c>
      <c r="D203" s="5">
        <v>16.8</v>
      </c>
      <c r="E203" s="5">
        <v>61.99</v>
      </c>
      <c r="F203" s="4" t="s">
        <v>766</v>
      </c>
      <c r="G203" s="3" t="s">
        <v>114</v>
      </c>
      <c r="H203" s="7"/>
      <c r="I203" s="5">
        <v>9.8000000000000007</v>
      </c>
      <c r="J203" s="3" t="s">
        <v>80</v>
      </c>
      <c r="K203" s="3" t="s">
        <v>767</v>
      </c>
      <c r="L203" s="3" t="s">
        <v>32</v>
      </c>
      <c r="M203" s="3" t="s">
        <v>208</v>
      </c>
      <c r="N203" s="8" t="str">
        <f>HYPERLINK("http://slimages.macys.com/is/image/MCY/13063034 ")</f>
        <v xml:space="preserve">http://slimages.macys.com/is/image/MCY/13063034 </v>
      </c>
    </row>
    <row r="204" spans="1:14" ht="48" x14ac:dyDescent="0.25">
      <c r="A204" s="7" t="s">
        <v>768</v>
      </c>
      <c r="B204" s="3" t="s">
        <v>769</v>
      </c>
      <c r="C204" s="4">
        <v>1</v>
      </c>
      <c r="D204" s="5">
        <v>19.579999999999998</v>
      </c>
      <c r="E204" s="5">
        <v>49.99</v>
      </c>
      <c r="F204" s="4" t="s">
        <v>770</v>
      </c>
      <c r="G204" s="3" t="s">
        <v>114</v>
      </c>
      <c r="H204" s="7" t="s">
        <v>285</v>
      </c>
      <c r="I204" s="5">
        <v>9.7899999999999991</v>
      </c>
      <c r="J204" s="3" t="s">
        <v>186</v>
      </c>
      <c r="K204" s="3" t="s">
        <v>207</v>
      </c>
      <c r="L204" s="3" t="s">
        <v>32</v>
      </c>
      <c r="M204" s="3"/>
      <c r="N204" s="8" t="str">
        <f>HYPERLINK("http://slimages.macys.com/is/image/MCY/9418438 ")</f>
        <v xml:space="preserve">http://slimages.macys.com/is/image/MCY/9418438 </v>
      </c>
    </row>
    <row r="205" spans="1:14" ht="108" x14ac:dyDescent="0.25">
      <c r="A205" s="7" t="s">
        <v>771</v>
      </c>
      <c r="B205" s="3" t="s">
        <v>772</v>
      </c>
      <c r="C205" s="4">
        <v>1</v>
      </c>
      <c r="D205" s="5">
        <v>19.5</v>
      </c>
      <c r="E205" s="5">
        <v>57.99</v>
      </c>
      <c r="F205" s="4">
        <v>17339</v>
      </c>
      <c r="G205" s="3" t="s">
        <v>109</v>
      </c>
      <c r="H205" s="7" t="s">
        <v>683</v>
      </c>
      <c r="I205" s="5">
        <v>9.75</v>
      </c>
      <c r="J205" s="3" t="s">
        <v>186</v>
      </c>
      <c r="K205" s="3" t="s">
        <v>773</v>
      </c>
      <c r="L205" s="3" t="s">
        <v>32</v>
      </c>
      <c r="M205" s="3" t="s">
        <v>774</v>
      </c>
      <c r="N205" s="8" t="str">
        <f>HYPERLINK("http://slimages.macys.com/is/image/MCY/11010115 ")</f>
        <v xml:space="preserve">http://slimages.macys.com/is/image/MCY/11010115 </v>
      </c>
    </row>
    <row r="206" spans="1:14" ht="48" x14ac:dyDescent="0.25">
      <c r="A206" s="7" t="s">
        <v>775</v>
      </c>
      <c r="B206" s="3" t="s">
        <v>776</v>
      </c>
      <c r="C206" s="4">
        <v>1</v>
      </c>
      <c r="D206" s="5">
        <v>15.75</v>
      </c>
      <c r="E206" s="5">
        <v>39.99</v>
      </c>
      <c r="F206" s="4" t="s">
        <v>777</v>
      </c>
      <c r="G206" s="3" t="s">
        <v>393</v>
      </c>
      <c r="H206" s="7"/>
      <c r="I206" s="5">
        <v>9.7125000000000004</v>
      </c>
      <c r="J206" s="3" t="s">
        <v>380</v>
      </c>
      <c r="K206" s="3" t="s">
        <v>778</v>
      </c>
      <c r="L206" s="3"/>
      <c r="M206" s="3"/>
      <c r="N206" s="8" t="str">
        <f>HYPERLINK("http://slimages.macys.com/is/image/MCY/17804035 ")</f>
        <v xml:space="preserve">http://slimages.macys.com/is/image/MCY/17804035 </v>
      </c>
    </row>
    <row r="207" spans="1:14" ht="48" x14ac:dyDescent="0.25">
      <c r="A207" s="7" t="s">
        <v>779</v>
      </c>
      <c r="B207" s="3" t="s">
        <v>780</v>
      </c>
      <c r="C207" s="4">
        <v>2</v>
      </c>
      <c r="D207" s="5">
        <v>15.75</v>
      </c>
      <c r="E207" s="5">
        <v>39.99</v>
      </c>
      <c r="F207" s="4" t="s">
        <v>781</v>
      </c>
      <c r="G207" s="3" t="s">
        <v>393</v>
      </c>
      <c r="H207" s="7"/>
      <c r="I207" s="5">
        <v>9.7125000000000004</v>
      </c>
      <c r="J207" s="3" t="s">
        <v>380</v>
      </c>
      <c r="K207" s="3" t="s">
        <v>778</v>
      </c>
      <c r="L207" s="3"/>
      <c r="M207" s="3"/>
      <c r="N207" s="8" t="str">
        <f>HYPERLINK("http://slimages.macys.com/is/image/MCY/17804041 ")</f>
        <v xml:space="preserve">http://slimages.macys.com/is/image/MCY/17804041 </v>
      </c>
    </row>
    <row r="208" spans="1:14" ht="48" x14ac:dyDescent="0.25">
      <c r="A208" s="7" t="s">
        <v>775</v>
      </c>
      <c r="B208" s="3" t="s">
        <v>776</v>
      </c>
      <c r="C208" s="4">
        <v>3</v>
      </c>
      <c r="D208" s="5">
        <v>15.75</v>
      </c>
      <c r="E208" s="5">
        <v>39.99</v>
      </c>
      <c r="F208" s="4" t="s">
        <v>777</v>
      </c>
      <c r="G208" s="3" t="s">
        <v>393</v>
      </c>
      <c r="H208" s="7"/>
      <c r="I208" s="5">
        <v>9.7125000000000004</v>
      </c>
      <c r="J208" s="3" t="s">
        <v>380</v>
      </c>
      <c r="K208" s="3" t="s">
        <v>778</v>
      </c>
      <c r="L208" s="3"/>
      <c r="M208" s="3"/>
      <c r="N208" s="8" t="str">
        <f>HYPERLINK("http://slimages.macys.com/is/image/MCY/17804035 ")</f>
        <v xml:space="preserve">http://slimages.macys.com/is/image/MCY/17804035 </v>
      </c>
    </row>
    <row r="209" spans="1:14" ht="48" x14ac:dyDescent="0.25">
      <c r="A209" s="7" t="s">
        <v>775</v>
      </c>
      <c r="B209" s="3" t="s">
        <v>776</v>
      </c>
      <c r="C209" s="4">
        <v>3</v>
      </c>
      <c r="D209" s="5">
        <v>15.75</v>
      </c>
      <c r="E209" s="5">
        <v>39.99</v>
      </c>
      <c r="F209" s="4" t="s">
        <v>777</v>
      </c>
      <c r="G209" s="3" t="s">
        <v>393</v>
      </c>
      <c r="H209" s="7"/>
      <c r="I209" s="5">
        <v>9.7125000000000004</v>
      </c>
      <c r="J209" s="3" t="s">
        <v>380</v>
      </c>
      <c r="K209" s="3" t="s">
        <v>778</v>
      </c>
      <c r="L209" s="3"/>
      <c r="M209" s="3"/>
      <c r="N209" s="8" t="str">
        <f>HYPERLINK("http://slimages.macys.com/is/image/MCY/17804035 ")</f>
        <v xml:space="preserve">http://slimages.macys.com/is/image/MCY/17804035 </v>
      </c>
    </row>
    <row r="210" spans="1:14" ht="48" x14ac:dyDescent="0.25">
      <c r="A210" s="7" t="s">
        <v>779</v>
      </c>
      <c r="B210" s="3" t="s">
        <v>780</v>
      </c>
      <c r="C210" s="4">
        <v>1</v>
      </c>
      <c r="D210" s="5">
        <v>15.75</v>
      </c>
      <c r="E210" s="5">
        <v>39.99</v>
      </c>
      <c r="F210" s="4" t="s">
        <v>781</v>
      </c>
      <c r="G210" s="3" t="s">
        <v>393</v>
      </c>
      <c r="H210" s="7"/>
      <c r="I210" s="5">
        <v>9.7125000000000004</v>
      </c>
      <c r="J210" s="3" t="s">
        <v>380</v>
      </c>
      <c r="K210" s="3" t="s">
        <v>778</v>
      </c>
      <c r="L210" s="3"/>
      <c r="M210" s="3"/>
      <c r="N210" s="8" t="str">
        <f>HYPERLINK("http://slimages.macys.com/is/image/MCY/17804041 ")</f>
        <v xml:space="preserve">http://slimages.macys.com/is/image/MCY/17804041 </v>
      </c>
    </row>
    <row r="211" spans="1:14" ht="48" x14ac:dyDescent="0.25">
      <c r="A211" s="7" t="s">
        <v>782</v>
      </c>
      <c r="B211" s="3" t="s">
        <v>783</v>
      </c>
      <c r="C211" s="4">
        <v>1</v>
      </c>
      <c r="D211" s="5">
        <v>15.72</v>
      </c>
      <c r="E211" s="5">
        <v>33.99</v>
      </c>
      <c r="F211" s="4" t="s">
        <v>784</v>
      </c>
      <c r="G211" s="3" t="s">
        <v>29</v>
      </c>
      <c r="H211" s="7"/>
      <c r="I211" s="5">
        <v>9.6940000000000008</v>
      </c>
      <c r="J211" s="3" t="s">
        <v>380</v>
      </c>
      <c r="K211" s="3" t="s">
        <v>48</v>
      </c>
      <c r="L211" s="3" t="s">
        <v>32</v>
      </c>
      <c r="M211" s="3" t="s">
        <v>785</v>
      </c>
      <c r="N211" s="8" t="str">
        <f>HYPERLINK("http://slimages.macys.com/is/image/MCY/10082190 ")</f>
        <v xml:space="preserve">http://slimages.macys.com/is/image/MCY/10082190 </v>
      </c>
    </row>
    <row r="212" spans="1:14" ht="48" x14ac:dyDescent="0.25">
      <c r="A212" s="7" t="s">
        <v>786</v>
      </c>
      <c r="B212" s="3" t="s">
        <v>787</v>
      </c>
      <c r="C212" s="4">
        <v>1</v>
      </c>
      <c r="D212" s="5">
        <v>16.48</v>
      </c>
      <c r="E212" s="5">
        <v>34.99</v>
      </c>
      <c r="F212" s="4" t="s">
        <v>788</v>
      </c>
      <c r="G212" s="3" t="s">
        <v>520</v>
      </c>
      <c r="H212" s="7" t="s">
        <v>542</v>
      </c>
      <c r="I212" s="5">
        <v>9.6133333333333333</v>
      </c>
      <c r="J212" s="3" t="s">
        <v>80</v>
      </c>
      <c r="K212" s="3" t="s">
        <v>48</v>
      </c>
      <c r="L212" s="3" t="s">
        <v>32</v>
      </c>
      <c r="M212" s="3" t="s">
        <v>789</v>
      </c>
      <c r="N212" s="8" t="str">
        <f>HYPERLINK("http://slimages.macys.com/is/image/MCY/3664922 ")</f>
        <v xml:space="preserve">http://slimages.macys.com/is/image/MCY/3664922 </v>
      </c>
    </row>
    <row r="213" spans="1:14" ht="48" x14ac:dyDescent="0.25">
      <c r="A213" s="7" t="s">
        <v>790</v>
      </c>
      <c r="B213" s="3" t="s">
        <v>791</v>
      </c>
      <c r="C213" s="4">
        <v>2</v>
      </c>
      <c r="D213" s="5">
        <v>16.48</v>
      </c>
      <c r="E213" s="5">
        <v>34.99</v>
      </c>
      <c r="F213" s="4" t="s">
        <v>792</v>
      </c>
      <c r="G213" s="3" t="s">
        <v>59</v>
      </c>
      <c r="H213" s="7" t="s">
        <v>542</v>
      </c>
      <c r="I213" s="5">
        <v>9.6133333333333333</v>
      </c>
      <c r="J213" s="3" t="s">
        <v>80</v>
      </c>
      <c r="K213" s="3" t="s">
        <v>48</v>
      </c>
      <c r="L213" s="3" t="s">
        <v>32</v>
      </c>
      <c r="M213" s="3" t="s">
        <v>789</v>
      </c>
      <c r="N213" s="8" t="str">
        <f>HYPERLINK("http://slimages.macys.com/is/image/MCY/3664922 ")</f>
        <v xml:space="preserve">http://slimages.macys.com/is/image/MCY/3664922 </v>
      </c>
    </row>
    <row r="214" spans="1:14" ht="48" x14ac:dyDescent="0.25">
      <c r="A214" s="7" t="s">
        <v>747</v>
      </c>
      <c r="B214" s="3" t="s">
        <v>748</v>
      </c>
      <c r="C214" s="4">
        <v>6</v>
      </c>
      <c r="D214" s="5">
        <v>16.37</v>
      </c>
      <c r="E214" s="5">
        <v>40.99</v>
      </c>
      <c r="F214" s="4" t="s">
        <v>749</v>
      </c>
      <c r="G214" s="3" t="s">
        <v>114</v>
      </c>
      <c r="H214" s="7"/>
      <c r="I214" s="5">
        <v>9.5491666666666664</v>
      </c>
      <c r="J214" s="3" t="s">
        <v>80</v>
      </c>
      <c r="K214" s="3" t="s">
        <v>48</v>
      </c>
      <c r="L214" s="3" t="s">
        <v>32</v>
      </c>
      <c r="M214" s="3"/>
      <c r="N214" s="8" t="str">
        <f>HYPERLINK("http://slimages.macys.com/is/image/MCY/9192504 ")</f>
        <v xml:space="preserve">http://slimages.macys.com/is/image/MCY/9192504 </v>
      </c>
    </row>
    <row r="215" spans="1:14" ht="48" x14ac:dyDescent="0.25">
      <c r="A215" s="7" t="s">
        <v>793</v>
      </c>
      <c r="B215" s="3" t="s">
        <v>794</v>
      </c>
      <c r="C215" s="4">
        <v>2</v>
      </c>
      <c r="D215" s="5">
        <v>16.37</v>
      </c>
      <c r="E215" s="5">
        <v>31.99</v>
      </c>
      <c r="F215" s="4" t="s">
        <v>795</v>
      </c>
      <c r="G215" s="3" t="s">
        <v>520</v>
      </c>
      <c r="H215" s="7"/>
      <c r="I215" s="5">
        <v>9.5491666666666664</v>
      </c>
      <c r="J215" s="3" t="s">
        <v>80</v>
      </c>
      <c r="K215" s="3" t="s">
        <v>48</v>
      </c>
      <c r="L215" s="3" t="s">
        <v>32</v>
      </c>
      <c r="M215" s="3"/>
      <c r="N215" s="8" t="str">
        <f>HYPERLINK("http://slimages.macys.com/is/image/MCY/9911829 ")</f>
        <v xml:space="preserve">http://slimages.macys.com/is/image/MCY/9911829 </v>
      </c>
    </row>
    <row r="216" spans="1:14" ht="48" x14ac:dyDescent="0.25">
      <c r="A216" s="7" t="s">
        <v>796</v>
      </c>
      <c r="B216" s="3" t="s">
        <v>797</v>
      </c>
      <c r="C216" s="4">
        <v>2</v>
      </c>
      <c r="D216" s="5">
        <v>16.32</v>
      </c>
      <c r="E216" s="5">
        <v>38.99</v>
      </c>
      <c r="F216" s="4" t="s">
        <v>798</v>
      </c>
      <c r="G216" s="3" t="s">
        <v>29</v>
      </c>
      <c r="H216" s="7"/>
      <c r="I216" s="5">
        <v>9.52</v>
      </c>
      <c r="J216" s="3" t="s">
        <v>80</v>
      </c>
      <c r="K216" s="3" t="s">
        <v>48</v>
      </c>
      <c r="L216" s="3" t="s">
        <v>32</v>
      </c>
      <c r="M216" s="3" t="s">
        <v>799</v>
      </c>
      <c r="N216" s="8" t="str">
        <f>HYPERLINK("http://slimages.macys.com/is/image/MCY/9310362 ")</f>
        <v xml:space="preserve">http://slimages.macys.com/is/image/MCY/9310362 </v>
      </c>
    </row>
    <row r="217" spans="1:14" ht="48" x14ac:dyDescent="0.25">
      <c r="A217" s="7" t="s">
        <v>800</v>
      </c>
      <c r="B217" s="3" t="s">
        <v>801</v>
      </c>
      <c r="C217" s="4">
        <v>1</v>
      </c>
      <c r="D217" s="5">
        <v>15.18</v>
      </c>
      <c r="E217" s="5">
        <v>29.99</v>
      </c>
      <c r="F217" s="4">
        <v>1003126700</v>
      </c>
      <c r="G217" s="3" t="s">
        <v>53</v>
      </c>
      <c r="H217" s="7"/>
      <c r="I217" s="5">
        <v>9.3610000000000007</v>
      </c>
      <c r="J217" s="3" t="s">
        <v>802</v>
      </c>
      <c r="K217" s="3" t="s">
        <v>803</v>
      </c>
      <c r="L217" s="3" t="s">
        <v>32</v>
      </c>
      <c r="M217" s="3" t="s">
        <v>208</v>
      </c>
      <c r="N217" s="8" t="str">
        <f>HYPERLINK("http://slimages.macys.com/is/image/MCY/9966106 ")</f>
        <v xml:space="preserve">http://slimages.macys.com/is/image/MCY/9966106 </v>
      </c>
    </row>
    <row r="218" spans="1:14" ht="48" x14ac:dyDescent="0.25">
      <c r="A218" s="7" t="s">
        <v>804</v>
      </c>
      <c r="B218" s="3" t="s">
        <v>805</v>
      </c>
      <c r="C218" s="4">
        <v>1</v>
      </c>
      <c r="D218" s="5">
        <v>15.97</v>
      </c>
      <c r="E218" s="5">
        <v>41.99</v>
      </c>
      <c r="F218" s="4" t="s">
        <v>806</v>
      </c>
      <c r="G218" s="3" t="s">
        <v>36</v>
      </c>
      <c r="H218" s="7"/>
      <c r="I218" s="5">
        <v>9.3158333333333339</v>
      </c>
      <c r="J218" s="3" t="s">
        <v>80</v>
      </c>
      <c r="K218" s="3" t="s">
        <v>528</v>
      </c>
      <c r="L218" s="3" t="s">
        <v>32</v>
      </c>
      <c r="M218" s="3" t="s">
        <v>406</v>
      </c>
      <c r="N218" s="8" t="str">
        <f>HYPERLINK("http://slimages.macys.com/is/image/MCY/10165771 ")</f>
        <v xml:space="preserve">http://slimages.macys.com/is/image/MCY/10165771 </v>
      </c>
    </row>
    <row r="219" spans="1:14" ht="60" x14ac:dyDescent="0.25">
      <c r="A219" s="7" t="s">
        <v>807</v>
      </c>
      <c r="B219" s="3" t="s">
        <v>808</v>
      </c>
      <c r="C219" s="4">
        <v>2</v>
      </c>
      <c r="D219" s="5">
        <v>18.489999999999998</v>
      </c>
      <c r="E219" s="5">
        <v>42.99</v>
      </c>
      <c r="F219" s="4" t="s">
        <v>809</v>
      </c>
      <c r="G219" s="3" t="s">
        <v>59</v>
      </c>
      <c r="H219" s="7"/>
      <c r="I219" s="5">
        <v>9.2449999999999992</v>
      </c>
      <c r="J219" s="3" t="s">
        <v>47</v>
      </c>
      <c r="K219" s="3" t="s">
        <v>48</v>
      </c>
      <c r="L219" s="3" t="s">
        <v>32</v>
      </c>
      <c r="M219" s="3" t="s">
        <v>273</v>
      </c>
      <c r="N219" s="8" t="str">
        <f>HYPERLINK("http://slimages.macys.com/is/image/MCY/9767726 ")</f>
        <v xml:space="preserve">http://slimages.macys.com/is/image/MCY/9767726 </v>
      </c>
    </row>
    <row r="220" spans="1:14" ht="72" x14ac:dyDescent="0.25">
      <c r="A220" s="7" t="s">
        <v>810</v>
      </c>
      <c r="B220" s="3" t="s">
        <v>811</v>
      </c>
      <c r="C220" s="4">
        <v>2</v>
      </c>
      <c r="D220" s="5">
        <v>18.420000000000002</v>
      </c>
      <c r="E220" s="5">
        <v>79.989999999999995</v>
      </c>
      <c r="F220" s="4" t="s">
        <v>812</v>
      </c>
      <c r="G220" s="3" t="s">
        <v>53</v>
      </c>
      <c r="H220" s="7"/>
      <c r="I220" s="5">
        <v>9.2100000000000009</v>
      </c>
      <c r="J220" s="3" t="s">
        <v>320</v>
      </c>
      <c r="K220" s="3" t="s">
        <v>321</v>
      </c>
      <c r="L220" s="3" t="s">
        <v>32</v>
      </c>
      <c r="M220" s="3" t="s">
        <v>763</v>
      </c>
      <c r="N220" s="8" t="str">
        <f>HYPERLINK("http://slimages.macys.com/is/image/MCY/14731378 ")</f>
        <v xml:space="preserve">http://slimages.macys.com/is/image/MCY/14731378 </v>
      </c>
    </row>
    <row r="221" spans="1:14" ht="60" x14ac:dyDescent="0.25">
      <c r="A221" s="7" t="s">
        <v>813</v>
      </c>
      <c r="B221" s="3" t="s">
        <v>814</v>
      </c>
      <c r="C221" s="4">
        <v>1</v>
      </c>
      <c r="D221" s="5">
        <v>18.34</v>
      </c>
      <c r="E221" s="5">
        <v>69.989999999999995</v>
      </c>
      <c r="F221" s="4">
        <v>100003976</v>
      </c>
      <c r="G221" s="3" t="s">
        <v>64</v>
      </c>
      <c r="H221" s="7" t="s">
        <v>285</v>
      </c>
      <c r="I221" s="5">
        <v>9.17</v>
      </c>
      <c r="J221" s="3" t="s">
        <v>65</v>
      </c>
      <c r="K221" s="3" t="s">
        <v>277</v>
      </c>
      <c r="L221" s="3" t="s">
        <v>32</v>
      </c>
      <c r="M221" s="3" t="s">
        <v>815</v>
      </c>
      <c r="N221" s="8" t="str">
        <f>HYPERLINK("http://slimages.macys.com/is/image/MCY/9019688 ")</f>
        <v xml:space="preserve">http://slimages.macys.com/is/image/MCY/9019688 </v>
      </c>
    </row>
    <row r="222" spans="1:14" ht="60" x14ac:dyDescent="0.25">
      <c r="A222" s="7" t="s">
        <v>816</v>
      </c>
      <c r="B222" s="3" t="s">
        <v>817</v>
      </c>
      <c r="C222" s="4">
        <v>1</v>
      </c>
      <c r="D222" s="5">
        <v>15.71</v>
      </c>
      <c r="E222" s="5">
        <v>33.99</v>
      </c>
      <c r="F222" s="4" t="s">
        <v>818</v>
      </c>
      <c r="G222" s="3" t="s">
        <v>137</v>
      </c>
      <c r="H222" s="7"/>
      <c r="I222" s="5">
        <v>9.1641666666666666</v>
      </c>
      <c r="J222" s="3" t="s">
        <v>80</v>
      </c>
      <c r="K222" s="3" t="s">
        <v>48</v>
      </c>
      <c r="L222" s="3" t="s">
        <v>32</v>
      </c>
      <c r="M222" s="3" t="s">
        <v>273</v>
      </c>
      <c r="N222" s="8" t="str">
        <f>HYPERLINK("http://slimages.macys.com/is/image/MCY/9615186 ")</f>
        <v xml:space="preserve">http://slimages.macys.com/is/image/MCY/9615186 </v>
      </c>
    </row>
    <row r="223" spans="1:14" ht="48" x14ac:dyDescent="0.25">
      <c r="A223" s="7" t="s">
        <v>819</v>
      </c>
      <c r="B223" s="3" t="s">
        <v>820</v>
      </c>
      <c r="C223" s="4">
        <v>1</v>
      </c>
      <c r="D223" s="5">
        <v>18.04</v>
      </c>
      <c r="E223" s="5">
        <v>79.989999999999995</v>
      </c>
      <c r="F223" s="4" t="s">
        <v>821</v>
      </c>
      <c r="G223" s="3" t="s">
        <v>220</v>
      </c>
      <c r="H223" s="7"/>
      <c r="I223" s="5">
        <v>9.02</v>
      </c>
      <c r="J223" s="3" t="s">
        <v>65</v>
      </c>
      <c r="K223" s="3" t="s">
        <v>307</v>
      </c>
      <c r="L223" s="3" t="s">
        <v>32</v>
      </c>
      <c r="M223" s="3" t="s">
        <v>208</v>
      </c>
      <c r="N223" s="8" t="str">
        <f>HYPERLINK("http://slimages.macys.com/is/image/MCY/13417113 ")</f>
        <v xml:space="preserve">http://slimages.macys.com/is/image/MCY/13417113 </v>
      </c>
    </row>
    <row r="224" spans="1:14" ht="48" x14ac:dyDescent="0.25">
      <c r="A224" s="7" t="s">
        <v>822</v>
      </c>
      <c r="B224" s="3" t="s">
        <v>823</v>
      </c>
      <c r="C224" s="4">
        <v>4</v>
      </c>
      <c r="D224" s="5">
        <v>14.55</v>
      </c>
      <c r="E224" s="5">
        <v>39.99</v>
      </c>
      <c r="F224" s="4" t="s">
        <v>824</v>
      </c>
      <c r="G224" s="3" t="s">
        <v>114</v>
      </c>
      <c r="H224" s="7"/>
      <c r="I224" s="5">
        <v>8.9725000000000001</v>
      </c>
      <c r="J224" s="3" t="s">
        <v>380</v>
      </c>
      <c r="K224" s="3" t="s">
        <v>405</v>
      </c>
      <c r="L224" s="3"/>
      <c r="M224" s="3"/>
      <c r="N224" s="8" t="str">
        <f>HYPERLINK("http://slimages.macys.com/is/image/MCY/17725003 ")</f>
        <v xml:space="preserve">http://slimages.macys.com/is/image/MCY/17725003 </v>
      </c>
    </row>
    <row r="225" spans="1:14" ht="48" x14ac:dyDescent="0.25">
      <c r="A225" s="7" t="s">
        <v>825</v>
      </c>
      <c r="B225" s="3" t="s">
        <v>826</v>
      </c>
      <c r="C225" s="4">
        <v>2</v>
      </c>
      <c r="D225" s="5">
        <v>14.55</v>
      </c>
      <c r="E225" s="5">
        <v>39.99</v>
      </c>
      <c r="F225" s="4" t="s">
        <v>827</v>
      </c>
      <c r="G225" s="3" t="s">
        <v>53</v>
      </c>
      <c r="H225" s="7"/>
      <c r="I225" s="5">
        <v>8.9725000000000001</v>
      </c>
      <c r="J225" s="3" t="s">
        <v>380</v>
      </c>
      <c r="K225" s="3" t="s">
        <v>405</v>
      </c>
      <c r="L225" s="3"/>
      <c r="M225" s="3"/>
      <c r="N225" s="8" t="str">
        <f>HYPERLINK("http://slimages.macys.com/is/image/MCY/17724992 ")</f>
        <v xml:space="preserve">http://slimages.macys.com/is/image/MCY/17724992 </v>
      </c>
    </row>
    <row r="226" spans="1:14" ht="48" x14ac:dyDescent="0.25">
      <c r="A226" s="7" t="s">
        <v>825</v>
      </c>
      <c r="B226" s="3" t="s">
        <v>826</v>
      </c>
      <c r="C226" s="4">
        <v>2</v>
      </c>
      <c r="D226" s="5">
        <v>14.55</v>
      </c>
      <c r="E226" s="5">
        <v>39.99</v>
      </c>
      <c r="F226" s="4" t="s">
        <v>827</v>
      </c>
      <c r="G226" s="3" t="s">
        <v>53</v>
      </c>
      <c r="H226" s="7"/>
      <c r="I226" s="5">
        <v>8.9725000000000001</v>
      </c>
      <c r="J226" s="3" t="s">
        <v>380</v>
      </c>
      <c r="K226" s="3" t="s">
        <v>405</v>
      </c>
      <c r="L226" s="3"/>
      <c r="M226" s="3"/>
      <c r="N226" s="8" t="str">
        <f>HYPERLINK("http://slimages.macys.com/is/image/MCY/17724992 ")</f>
        <v xml:space="preserve">http://slimages.macys.com/is/image/MCY/17724992 </v>
      </c>
    </row>
    <row r="227" spans="1:14" ht="48" x14ac:dyDescent="0.25">
      <c r="A227" s="7" t="s">
        <v>822</v>
      </c>
      <c r="B227" s="3" t="s">
        <v>823</v>
      </c>
      <c r="C227" s="4">
        <v>2</v>
      </c>
      <c r="D227" s="5">
        <v>14.55</v>
      </c>
      <c r="E227" s="5">
        <v>39.99</v>
      </c>
      <c r="F227" s="4" t="s">
        <v>824</v>
      </c>
      <c r="G227" s="3" t="s">
        <v>114</v>
      </c>
      <c r="H227" s="7"/>
      <c r="I227" s="5">
        <v>8.9725000000000001</v>
      </c>
      <c r="J227" s="3" t="s">
        <v>380</v>
      </c>
      <c r="K227" s="3" t="s">
        <v>405</v>
      </c>
      <c r="L227" s="3"/>
      <c r="M227" s="3"/>
      <c r="N227" s="8" t="str">
        <f>HYPERLINK("http://slimages.macys.com/is/image/MCY/17725003 ")</f>
        <v xml:space="preserve">http://slimages.macys.com/is/image/MCY/17725003 </v>
      </c>
    </row>
    <row r="228" spans="1:14" ht="48" x14ac:dyDescent="0.25">
      <c r="A228" s="7" t="s">
        <v>822</v>
      </c>
      <c r="B228" s="3" t="s">
        <v>823</v>
      </c>
      <c r="C228" s="4">
        <v>1</v>
      </c>
      <c r="D228" s="5">
        <v>14.55</v>
      </c>
      <c r="E228" s="5">
        <v>39.99</v>
      </c>
      <c r="F228" s="4" t="s">
        <v>824</v>
      </c>
      <c r="G228" s="3" t="s">
        <v>114</v>
      </c>
      <c r="H228" s="7"/>
      <c r="I228" s="5">
        <v>8.9725000000000001</v>
      </c>
      <c r="J228" s="3" t="s">
        <v>380</v>
      </c>
      <c r="K228" s="3" t="s">
        <v>405</v>
      </c>
      <c r="L228" s="3"/>
      <c r="M228" s="3"/>
      <c r="N228" s="8" t="str">
        <f>HYPERLINK("http://slimages.macys.com/is/image/MCY/17725003 ")</f>
        <v xml:space="preserve">http://slimages.macys.com/is/image/MCY/17725003 </v>
      </c>
    </row>
    <row r="229" spans="1:14" ht="48" x14ac:dyDescent="0.25">
      <c r="A229" s="7" t="s">
        <v>825</v>
      </c>
      <c r="B229" s="3" t="s">
        <v>826</v>
      </c>
      <c r="C229" s="4">
        <v>1</v>
      </c>
      <c r="D229" s="5">
        <v>14.55</v>
      </c>
      <c r="E229" s="5">
        <v>39.99</v>
      </c>
      <c r="F229" s="4" t="s">
        <v>827</v>
      </c>
      <c r="G229" s="3" t="s">
        <v>53</v>
      </c>
      <c r="H229" s="7"/>
      <c r="I229" s="5">
        <v>8.9725000000000001</v>
      </c>
      <c r="J229" s="3" t="s">
        <v>380</v>
      </c>
      <c r="K229" s="3" t="s">
        <v>405</v>
      </c>
      <c r="L229" s="3"/>
      <c r="M229" s="3"/>
      <c r="N229" s="8" t="str">
        <f>HYPERLINK("http://slimages.macys.com/is/image/MCY/17724992 ")</f>
        <v xml:space="preserve">http://slimages.macys.com/is/image/MCY/17724992 </v>
      </c>
    </row>
    <row r="230" spans="1:14" ht="48" x14ac:dyDescent="0.25">
      <c r="A230" s="7" t="s">
        <v>822</v>
      </c>
      <c r="B230" s="3" t="s">
        <v>823</v>
      </c>
      <c r="C230" s="4">
        <v>6</v>
      </c>
      <c r="D230" s="5">
        <v>14.55</v>
      </c>
      <c r="E230" s="5">
        <v>39.99</v>
      </c>
      <c r="F230" s="4" t="s">
        <v>824</v>
      </c>
      <c r="G230" s="3" t="s">
        <v>114</v>
      </c>
      <c r="H230" s="7"/>
      <c r="I230" s="5">
        <v>8.9725000000000001</v>
      </c>
      <c r="J230" s="3" t="s">
        <v>380</v>
      </c>
      <c r="K230" s="3" t="s">
        <v>405</v>
      </c>
      <c r="L230" s="3"/>
      <c r="M230" s="3"/>
      <c r="N230" s="8" t="str">
        <f>HYPERLINK("http://slimages.macys.com/is/image/MCY/17725003 ")</f>
        <v xml:space="preserve">http://slimages.macys.com/is/image/MCY/17725003 </v>
      </c>
    </row>
    <row r="231" spans="1:14" ht="48" x14ac:dyDescent="0.25">
      <c r="A231" s="7" t="s">
        <v>828</v>
      </c>
      <c r="B231" s="3" t="s">
        <v>829</v>
      </c>
      <c r="C231" s="4">
        <v>1</v>
      </c>
      <c r="D231" s="5">
        <v>15.3</v>
      </c>
      <c r="E231" s="5">
        <v>44.99</v>
      </c>
      <c r="F231" s="4">
        <v>599120</v>
      </c>
      <c r="G231" s="3" t="s">
        <v>29</v>
      </c>
      <c r="H231" s="7"/>
      <c r="I231" s="5">
        <v>8.9250000000000007</v>
      </c>
      <c r="J231" s="3" t="s">
        <v>80</v>
      </c>
      <c r="K231" s="3" t="s">
        <v>830</v>
      </c>
      <c r="L231" s="3" t="s">
        <v>32</v>
      </c>
      <c r="M231" s="3" t="s">
        <v>831</v>
      </c>
      <c r="N231" s="8" t="str">
        <f>HYPERLINK("http://slimages.macys.com/is/image/MCY/10092388 ")</f>
        <v xml:space="preserve">http://slimages.macys.com/is/image/MCY/10092388 </v>
      </c>
    </row>
    <row r="232" spans="1:14" ht="48" x14ac:dyDescent="0.25">
      <c r="A232" s="7" t="s">
        <v>832</v>
      </c>
      <c r="B232" s="3" t="s">
        <v>833</v>
      </c>
      <c r="C232" s="4">
        <v>1</v>
      </c>
      <c r="D232" s="5">
        <v>17.600000000000001</v>
      </c>
      <c r="E232" s="5">
        <v>39.99</v>
      </c>
      <c r="F232" s="4">
        <v>1000788500</v>
      </c>
      <c r="G232" s="3" t="s">
        <v>336</v>
      </c>
      <c r="H232" s="7" t="s">
        <v>601</v>
      </c>
      <c r="I232" s="5">
        <v>8.8000000000000007</v>
      </c>
      <c r="J232" s="3" t="s">
        <v>320</v>
      </c>
      <c r="K232" s="3" t="s">
        <v>491</v>
      </c>
      <c r="L232" s="3" t="s">
        <v>32</v>
      </c>
      <c r="M232" s="3"/>
      <c r="N232" s="8" t="str">
        <f>HYPERLINK("http://slimages.macys.com/is/image/MCY/9353014 ")</f>
        <v xml:space="preserve">http://slimages.macys.com/is/image/MCY/9353014 </v>
      </c>
    </row>
    <row r="233" spans="1:14" ht="48" x14ac:dyDescent="0.25">
      <c r="A233" s="7" t="s">
        <v>834</v>
      </c>
      <c r="B233" s="3" t="s">
        <v>835</v>
      </c>
      <c r="C233" s="4">
        <v>1</v>
      </c>
      <c r="D233" s="5">
        <v>17.600000000000001</v>
      </c>
      <c r="E233" s="5">
        <v>39.99</v>
      </c>
      <c r="F233" s="4">
        <v>1000751600</v>
      </c>
      <c r="G233" s="3" t="s">
        <v>695</v>
      </c>
      <c r="H233" s="7" t="s">
        <v>285</v>
      </c>
      <c r="I233" s="5">
        <v>8.8000000000000007</v>
      </c>
      <c r="J233" s="3" t="s">
        <v>320</v>
      </c>
      <c r="K233" s="3" t="s">
        <v>491</v>
      </c>
      <c r="L233" s="3" t="s">
        <v>32</v>
      </c>
      <c r="M233" s="3" t="s">
        <v>836</v>
      </c>
      <c r="N233" s="8" t="str">
        <f>HYPERLINK("http://slimages.macys.com/is/image/MCY/9221119 ")</f>
        <v xml:space="preserve">http://slimages.macys.com/is/image/MCY/9221119 </v>
      </c>
    </row>
    <row r="234" spans="1:14" ht="48" x14ac:dyDescent="0.25">
      <c r="A234" s="7" t="s">
        <v>834</v>
      </c>
      <c r="B234" s="3" t="s">
        <v>835</v>
      </c>
      <c r="C234" s="4">
        <v>2</v>
      </c>
      <c r="D234" s="5">
        <v>17.600000000000001</v>
      </c>
      <c r="E234" s="5">
        <v>39.99</v>
      </c>
      <c r="F234" s="4">
        <v>1000751600</v>
      </c>
      <c r="G234" s="3" t="s">
        <v>695</v>
      </c>
      <c r="H234" s="7" t="s">
        <v>285</v>
      </c>
      <c r="I234" s="5">
        <v>8.8000000000000007</v>
      </c>
      <c r="J234" s="3" t="s">
        <v>320</v>
      </c>
      <c r="K234" s="3" t="s">
        <v>491</v>
      </c>
      <c r="L234" s="3" t="s">
        <v>32</v>
      </c>
      <c r="M234" s="3" t="s">
        <v>836</v>
      </c>
      <c r="N234" s="8" t="str">
        <f>HYPERLINK("http://slimages.macys.com/is/image/MCY/9221119 ")</f>
        <v xml:space="preserve">http://slimages.macys.com/is/image/MCY/9221119 </v>
      </c>
    </row>
    <row r="235" spans="1:14" ht="72" x14ac:dyDescent="0.25">
      <c r="A235" s="7" t="s">
        <v>837</v>
      </c>
      <c r="B235" s="3" t="s">
        <v>838</v>
      </c>
      <c r="C235" s="4">
        <v>1</v>
      </c>
      <c r="D235" s="5">
        <v>15.04</v>
      </c>
      <c r="E235" s="5">
        <v>35.99</v>
      </c>
      <c r="F235" s="4" t="s">
        <v>839</v>
      </c>
      <c r="G235" s="3" t="s">
        <v>840</v>
      </c>
      <c r="H235" s="7"/>
      <c r="I235" s="5">
        <v>8.7733333333333334</v>
      </c>
      <c r="J235" s="3" t="s">
        <v>80</v>
      </c>
      <c r="K235" s="3" t="s">
        <v>48</v>
      </c>
      <c r="L235" s="3" t="s">
        <v>32</v>
      </c>
      <c r="M235" s="3" t="s">
        <v>675</v>
      </c>
      <c r="N235" s="8" t="str">
        <f>HYPERLINK("http://slimages.macys.com/is/image/MCY/8216605 ")</f>
        <v xml:space="preserve">http://slimages.macys.com/is/image/MCY/8216605 </v>
      </c>
    </row>
    <row r="236" spans="1:14" ht="72" x14ac:dyDescent="0.25">
      <c r="A236" s="7" t="s">
        <v>841</v>
      </c>
      <c r="B236" s="3" t="s">
        <v>842</v>
      </c>
      <c r="C236" s="4">
        <v>2</v>
      </c>
      <c r="D236" s="5">
        <v>15.04</v>
      </c>
      <c r="E236" s="5">
        <v>35.99</v>
      </c>
      <c r="F236" s="4" t="s">
        <v>843</v>
      </c>
      <c r="G236" s="3" t="s">
        <v>633</v>
      </c>
      <c r="H236" s="7"/>
      <c r="I236" s="5">
        <v>8.7733333333333334</v>
      </c>
      <c r="J236" s="3" t="s">
        <v>80</v>
      </c>
      <c r="K236" s="3" t="s">
        <v>48</v>
      </c>
      <c r="L236" s="3" t="s">
        <v>32</v>
      </c>
      <c r="M236" s="3" t="s">
        <v>675</v>
      </c>
      <c r="N236" s="8" t="str">
        <f>HYPERLINK("http://slimages.macys.com/is/image/MCY/8216605 ")</f>
        <v xml:space="preserve">http://slimages.macys.com/is/image/MCY/8216605 </v>
      </c>
    </row>
    <row r="237" spans="1:14" ht="144" x14ac:dyDescent="0.25">
      <c r="A237" s="7" t="s">
        <v>844</v>
      </c>
      <c r="B237" s="3" t="s">
        <v>845</v>
      </c>
      <c r="C237" s="4">
        <v>1</v>
      </c>
      <c r="D237" s="5">
        <v>15</v>
      </c>
      <c r="E237" s="5">
        <v>29.99</v>
      </c>
      <c r="F237" s="4" t="s">
        <v>846</v>
      </c>
      <c r="G237" s="3" t="s">
        <v>114</v>
      </c>
      <c r="H237" s="7" t="s">
        <v>847</v>
      </c>
      <c r="I237" s="5">
        <v>8.75</v>
      </c>
      <c r="J237" s="3" t="s">
        <v>116</v>
      </c>
      <c r="K237" s="3" t="s">
        <v>848</v>
      </c>
      <c r="L237" s="3" t="s">
        <v>32</v>
      </c>
      <c r="M237" s="3" t="s">
        <v>849</v>
      </c>
      <c r="N237" s="8" t="str">
        <f>HYPERLINK("http://slimages.macys.com/is/image/MCY/3422110 ")</f>
        <v xml:space="preserve">http://slimages.macys.com/is/image/MCY/3422110 </v>
      </c>
    </row>
    <row r="238" spans="1:14" ht="60" x14ac:dyDescent="0.25">
      <c r="A238" s="7" t="s">
        <v>850</v>
      </c>
      <c r="B238" s="3" t="s">
        <v>851</v>
      </c>
      <c r="C238" s="4">
        <v>1</v>
      </c>
      <c r="D238" s="5">
        <v>14.95</v>
      </c>
      <c r="E238" s="5">
        <v>29.99</v>
      </c>
      <c r="F238" s="4" t="s">
        <v>852</v>
      </c>
      <c r="G238" s="3" t="s">
        <v>59</v>
      </c>
      <c r="H238" s="7" t="s">
        <v>542</v>
      </c>
      <c r="I238" s="5">
        <v>8.7208333333333332</v>
      </c>
      <c r="J238" s="3" t="s">
        <v>80</v>
      </c>
      <c r="K238" s="3" t="s">
        <v>48</v>
      </c>
      <c r="L238" s="3" t="s">
        <v>32</v>
      </c>
      <c r="M238" s="3" t="s">
        <v>853</v>
      </c>
      <c r="N238" s="8" t="str">
        <f>HYPERLINK("http://slimages.macys.com/is/image/MCY/8064927 ")</f>
        <v xml:space="preserve">http://slimages.macys.com/is/image/MCY/8064927 </v>
      </c>
    </row>
    <row r="239" spans="1:14" ht="48" x14ac:dyDescent="0.25">
      <c r="A239" s="7" t="s">
        <v>854</v>
      </c>
      <c r="B239" s="3" t="s">
        <v>855</v>
      </c>
      <c r="C239" s="4">
        <v>1</v>
      </c>
      <c r="D239" s="5">
        <v>14.93</v>
      </c>
      <c r="E239" s="5">
        <v>35.99</v>
      </c>
      <c r="F239" s="4" t="s">
        <v>856</v>
      </c>
      <c r="G239" s="3" t="s">
        <v>29</v>
      </c>
      <c r="H239" s="7"/>
      <c r="I239" s="5">
        <v>8.7091666666666683</v>
      </c>
      <c r="J239" s="3" t="s">
        <v>80</v>
      </c>
      <c r="K239" s="3" t="s">
        <v>48</v>
      </c>
      <c r="L239" s="3" t="s">
        <v>32</v>
      </c>
      <c r="M239" s="3" t="s">
        <v>857</v>
      </c>
      <c r="N239" s="8" t="str">
        <f>HYPERLINK("http://slimages.macys.com/is/image/MCY/9310361 ")</f>
        <v xml:space="preserve">http://slimages.macys.com/is/image/MCY/9310361 </v>
      </c>
    </row>
    <row r="240" spans="1:14" ht="48" x14ac:dyDescent="0.25">
      <c r="A240" s="7" t="s">
        <v>858</v>
      </c>
      <c r="B240" s="3" t="s">
        <v>859</v>
      </c>
      <c r="C240" s="4">
        <v>1</v>
      </c>
      <c r="D240" s="5">
        <v>17.16</v>
      </c>
      <c r="E240" s="5">
        <v>49.99</v>
      </c>
      <c r="F240" s="4" t="s">
        <v>860</v>
      </c>
      <c r="G240" s="3"/>
      <c r="H240" s="7" t="s">
        <v>601</v>
      </c>
      <c r="I240" s="5">
        <v>8.58</v>
      </c>
      <c r="J240" s="3" t="s">
        <v>186</v>
      </c>
      <c r="K240" s="3" t="s">
        <v>187</v>
      </c>
      <c r="L240" s="3" t="s">
        <v>32</v>
      </c>
      <c r="M240" s="3" t="s">
        <v>188</v>
      </c>
      <c r="N240" s="8" t="str">
        <f>HYPERLINK("http://slimages.macys.com/is/image/MCY/11012503 ")</f>
        <v xml:space="preserve">http://slimages.macys.com/is/image/MCY/11012503 </v>
      </c>
    </row>
    <row r="241" spans="1:14" ht="60" x14ac:dyDescent="0.25">
      <c r="A241" s="7" t="s">
        <v>861</v>
      </c>
      <c r="B241" s="3" t="s">
        <v>862</v>
      </c>
      <c r="C241" s="4">
        <v>1</v>
      </c>
      <c r="D241" s="5">
        <v>17.07</v>
      </c>
      <c r="E241" s="5">
        <v>79.989999999999995</v>
      </c>
      <c r="F241" s="4">
        <v>10004032100</v>
      </c>
      <c r="G241" s="3" t="s">
        <v>220</v>
      </c>
      <c r="H241" s="7"/>
      <c r="I241" s="5">
        <v>8.5350000000000019</v>
      </c>
      <c r="J241" s="3" t="s">
        <v>65</v>
      </c>
      <c r="K241" s="3" t="s">
        <v>277</v>
      </c>
      <c r="L241" s="3" t="s">
        <v>327</v>
      </c>
      <c r="M241" s="3"/>
      <c r="N241" s="8" t="str">
        <f>HYPERLINK("http://slimages.macys.com/is/image/MCY/10889472 ")</f>
        <v xml:space="preserve">http://slimages.macys.com/is/image/MCY/10889472 </v>
      </c>
    </row>
    <row r="242" spans="1:14" ht="60" x14ac:dyDescent="0.25">
      <c r="A242" s="7" t="s">
        <v>863</v>
      </c>
      <c r="B242" s="3" t="s">
        <v>864</v>
      </c>
      <c r="C242" s="4">
        <v>1</v>
      </c>
      <c r="D242" s="5">
        <v>17</v>
      </c>
      <c r="E242" s="5">
        <v>39.99</v>
      </c>
      <c r="F242" s="4" t="s">
        <v>865</v>
      </c>
      <c r="G242" s="3"/>
      <c r="H242" s="7" t="s">
        <v>866</v>
      </c>
      <c r="I242" s="5">
        <v>8.5</v>
      </c>
      <c r="J242" s="3" t="s">
        <v>30</v>
      </c>
      <c r="K242" s="3" t="s">
        <v>326</v>
      </c>
      <c r="L242" s="3" t="s">
        <v>32</v>
      </c>
      <c r="M242" s="3" t="s">
        <v>328</v>
      </c>
      <c r="N242" s="8" t="str">
        <f>HYPERLINK("http://slimages.macys.com/is/image/MCY/12330821 ")</f>
        <v xml:space="preserve">http://slimages.macys.com/is/image/MCY/12330821 </v>
      </c>
    </row>
    <row r="243" spans="1:14" ht="120" x14ac:dyDescent="0.25">
      <c r="A243" s="7" t="s">
        <v>867</v>
      </c>
      <c r="B243" s="3" t="s">
        <v>868</v>
      </c>
      <c r="C243" s="4">
        <v>1</v>
      </c>
      <c r="D243" s="5">
        <v>16.989999999999998</v>
      </c>
      <c r="E243" s="5">
        <v>69.989999999999995</v>
      </c>
      <c r="F243" s="4" t="s">
        <v>869</v>
      </c>
      <c r="G243" s="3" t="s">
        <v>114</v>
      </c>
      <c r="H243" s="7"/>
      <c r="I243" s="5">
        <v>8.495000000000001</v>
      </c>
      <c r="J243" s="3" t="s">
        <v>65</v>
      </c>
      <c r="K243" s="3" t="s">
        <v>66</v>
      </c>
      <c r="L243" s="3" t="s">
        <v>32</v>
      </c>
      <c r="M243" s="3" t="s">
        <v>67</v>
      </c>
      <c r="N243" s="8" t="str">
        <f>HYPERLINK("http://slimages.macys.com/is/image/MCY/9621143 ")</f>
        <v xml:space="preserve">http://slimages.macys.com/is/image/MCY/9621143 </v>
      </c>
    </row>
    <row r="244" spans="1:14" ht="48" x14ac:dyDescent="0.25">
      <c r="A244" s="7" t="s">
        <v>870</v>
      </c>
      <c r="B244" s="3" t="s">
        <v>871</v>
      </c>
      <c r="C244" s="4">
        <v>2</v>
      </c>
      <c r="D244" s="5">
        <v>16.98</v>
      </c>
      <c r="E244" s="5">
        <v>79.989999999999995</v>
      </c>
      <c r="F244" s="4" t="s">
        <v>872</v>
      </c>
      <c r="G244" s="3" t="s">
        <v>64</v>
      </c>
      <c r="H244" s="7"/>
      <c r="I244" s="5">
        <v>8.49</v>
      </c>
      <c r="J244" s="3" t="s">
        <v>65</v>
      </c>
      <c r="K244" s="3" t="s">
        <v>602</v>
      </c>
      <c r="L244" s="3"/>
      <c r="M244" s="3"/>
      <c r="N244" s="8" t="str">
        <f>HYPERLINK("http://slimages.macys.com/is/image/MCY/16688472 ")</f>
        <v xml:space="preserve">http://slimages.macys.com/is/image/MCY/16688472 </v>
      </c>
    </row>
    <row r="245" spans="1:14" ht="48" x14ac:dyDescent="0.25">
      <c r="A245" s="7" t="s">
        <v>870</v>
      </c>
      <c r="B245" s="3" t="s">
        <v>871</v>
      </c>
      <c r="C245" s="4">
        <v>1</v>
      </c>
      <c r="D245" s="5">
        <v>16.98</v>
      </c>
      <c r="E245" s="5">
        <v>79.989999999999995</v>
      </c>
      <c r="F245" s="4" t="s">
        <v>872</v>
      </c>
      <c r="G245" s="3" t="s">
        <v>64</v>
      </c>
      <c r="H245" s="7"/>
      <c r="I245" s="5">
        <v>8.49</v>
      </c>
      <c r="J245" s="3" t="s">
        <v>65</v>
      </c>
      <c r="K245" s="3" t="s">
        <v>602</v>
      </c>
      <c r="L245" s="3"/>
      <c r="M245" s="3"/>
      <c r="N245" s="8" t="str">
        <f>HYPERLINK("http://slimages.macys.com/is/image/MCY/16688472 ")</f>
        <v xml:space="preserve">http://slimages.macys.com/is/image/MCY/16688472 </v>
      </c>
    </row>
    <row r="246" spans="1:14" ht="48" x14ac:dyDescent="0.25">
      <c r="A246" s="7" t="s">
        <v>873</v>
      </c>
      <c r="B246" s="3" t="s">
        <v>874</v>
      </c>
      <c r="C246" s="4">
        <v>5</v>
      </c>
      <c r="D246" s="5">
        <v>16.98</v>
      </c>
      <c r="E246" s="5">
        <v>79.989999999999995</v>
      </c>
      <c r="F246" s="4" t="s">
        <v>875</v>
      </c>
      <c r="G246" s="3" t="s">
        <v>64</v>
      </c>
      <c r="H246" s="7"/>
      <c r="I246" s="5">
        <v>8.49</v>
      </c>
      <c r="J246" s="3" t="s">
        <v>65</v>
      </c>
      <c r="K246" s="3" t="s">
        <v>602</v>
      </c>
      <c r="L246" s="3"/>
      <c r="M246" s="3"/>
      <c r="N246" s="8" t="str">
        <f>HYPERLINK("http://slimages.macys.com/is/image/MCY/16688470 ")</f>
        <v xml:space="preserve">http://slimages.macys.com/is/image/MCY/16688470 </v>
      </c>
    </row>
    <row r="247" spans="1:14" ht="48" x14ac:dyDescent="0.25">
      <c r="A247" s="7" t="s">
        <v>876</v>
      </c>
      <c r="B247" s="3" t="s">
        <v>877</v>
      </c>
      <c r="C247" s="4">
        <v>1</v>
      </c>
      <c r="D247" s="5">
        <v>14.5</v>
      </c>
      <c r="E247" s="5">
        <v>28.99</v>
      </c>
      <c r="F247" s="4">
        <v>17790</v>
      </c>
      <c r="G247" s="3" t="s">
        <v>643</v>
      </c>
      <c r="H247" s="7" t="s">
        <v>655</v>
      </c>
      <c r="I247" s="5">
        <v>8.4583333333333339</v>
      </c>
      <c r="J247" s="3" t="s">
        <v>80</v>
      </c>
      <c r="K247" s="3" t="s">
        <v>878</v>
      </c>
      <c r="L247" s="3" t="s">
        <v>32</v>
      </c>
      <c r="M247" s="3" t="s">
        <v>208</v>
      </c>
      <c r="N247" s="8" t="str">
        <f>HYPERLINK("http://slimages.macys.com/is/image/MCY/9316073 ")</f>
        <v xml:space="preserve">http://slimages.macys.com/is/image/MCY/9316073 </v>
      </c>
    </row>
    <row r="248" spans="1:14" ht="48" x14ac:dyDescent="0.25">
      <c r="A248" s="7" t="s">
        <v>879</v>
      </c>
      <c r="B248" s="3" t="s">
        <v>880</v>
      </c>
      <c r="C248" s="4">
        <v>1</v>
      </c>
      <c r="D248" s="5">
        <v>14.5</v>
      </c>
      <c r="E248" s="5">
        <v>29.99</v>
      </c>
      <c r="F248" s="4" t="s">
        <v>881</v>
      </c>
      <c r="G248" s="3" t="s">
        <v>29</v>
      </c>
      <c r="H248" s="7"/>
      <c r="I248" s="5">
        <v>8.4583333333333339</v>
      </c>
      <c r="J248" s="3" t="s">
        <v>80</v>
      </c>
      <c r="K248" s="3" t="s">
        <v>882</v>
      </c>
      <c r="L248" s="3" t="s">
        <v>32</v>
      </c>
      <c r="M248" s="3"/>
      <c r="N248" s="8" t="str">
        <f>HYPERLINK("http://slimages.macys.com/is/image/MCY/13384485 ")</f>
        <v xml:space="preserve">http://slimages.macys.com/is/image/MCY/13384485 </v>
      </c>
    </row>
    <row r="249" spans="1:14" ht="48" x14ac:dyDescent="0.25">
      <c r="A249" s="7" t="s">
        <v>883</v>
      </c>
      <c r="B249" s="3" t="s">
        <v>884</v>
      </c>
      <c r="C249" s="4">
        <v>2</v>
      </c>
      <c r="D249" s="5">
        <v>16.75</v>
      </c>
      <c r="E249" s="5">
        <v>79.989999999999995</v>
      </c>
      <c r="F249" s="4" t="s">
        <v>885</v>
      </c>
      <c r="G249" s="3" t="s">
        <v>114</v>
      </c>
      <c r="H249" s="7"/>
      <c r="I249" s="5">
        <v>8.3750000000000018</v>
      </c>
      <c r="J249" s="3" t="s">
        <v>65</v>
      </c>
      <c r="K249" s="3" t="s">
        <v>307</v>
      </c>
      <c r="L249" s="3" t="s">
        <v>32</v>
      </c>
      <c r="M249" s="3" t="s">
        <v>193</v>
      </c>
      <c r="N249" s="8" t="str">
        <f>HYPERLINK("http://slimages.macys.com/is/image/MCY/9353025 ")</f>
        <v xml:space="preserve">http://slimages.macys.com/is/image/MCY/9353025 </v>
      </c>
    </row>
    <row r="250" spans="1:14" ht="48" x14ac:dyDescent="0.25">
      <c r="A250" s="7" t="s">
        <v>854</v>
      </c>
      <c r="B250" s="3" t="s">
        <v>855</v>
      </c>
      <c r="C250" s="4">
        <v>1</v>
      </c>
      <c r="D250" s="5">
        <v>14.29</v>
      </c>
      <c r="E250" s="5">
        <v>35.99</v>
      </c>
      <c r="F250" s="4" t="s">
        <v>856</v>
      </c>
      <c r="G250" s="3" t="s">
        <v>29</v>
      </c>
      <c r="H250" s="7"/>
      <c r="I250" s="5">
        <v>8.3358333333333334</v>
      </c>
      <c r="J250" s="3" t="s">
        <v>80</v>
      </c>
      <c r="K250" s="3" t="s">
        <v>48</v>
      </c>
      <c r="L250" s="3" t="s">
        <v>32</v>
      </c>
      <c r="M250" s="3" t="s">
        <v>857</v>
      </c>
      <c r="N250" s="8" t="str">
        <f>HYPERLINK("http://slimages.macys.com/is/image/MCY/9310361 ")</f>
        <v xml:space="preserve">http://slimages.macys.com/is/image/MCY/9310361 </v>
      </c>
    </row>
    <row r="251" spans="1:14" ht="48" x14ac:dyDescent="0.25">
      <c r="A251" s="7" t="s">
        <v>886</v>
      </c>
      <c r="B251" s="3" t="s">
        <v>887</v>
      </c>
      <c r="C251" s="4">
        <v>4</v>
      </c>
      <c r="D251" s="5">
        <v>14.29</v>
      </c>
      <c r="E251" s="5">
        <v>35.99</v>
      </c>
      <c r="F251" s="4" t="s">
        <v>888</v>
      </c>
      <c r="G251" s="3" t="s">
        <v>114</v>
      </c>
      <c r="H251" s="7" t="s">
        <v>889</v>
      </c>
      <c r="I251" s="5">
        <v>8.3358333333333334</v>
      </c>
      <c r="J251" s="3" t="s">
        <v>80</v>
      </c>
      <c r="K251" s="3" t="s">
        <v>48</v>
      </c>
      <c r="L251" s="3" t="s">
        <v>32</v>
      </c>
      <c r="M251" s="3" t="s">
        <v>406</v>
      </c>
      <c r="N251" s="8" t="str">
        <f>HYPERLINK("http://slimages.macys.com/is/image/MCY/9535338 ")</f>
        <v xml:space="preserve">http://slimages.macys.com/is/image/MCY/9535338 </v>
      </c>
    </row>
    <row r="252" spans="1:14" ht="72" x14ac:dyDescent="0.25">
      <c r="A252" s="7" t="s">
        <v>890</v>
      </c>
      <c r="B252" s="3" t="s">
        <v>891</v>
      </c>
      <c r="C252" s="4">
        <v>1</v>
      </c>
      <c r="D252" s="5">
        <v>14.25</v>
      </c>
      <c r="E252" s="5">
        <v>34.99</v>
      </c>
      <c r="F252" s="4" t="s">
        <v>892</v>
      </c>
      <c r="G252" s="3" t="s">
        <v>114</v>
      </c>
      <c r="H252" s="7" t="s">
        <v>185</v>
      </c>
      <c r="I252" s="5">
        <v>8.3125</v>
      </c>
      <c r="J252" s="3" t="s">
        <v>80</v>
      </c>
      <c r="K252" s="3" t="s">
        <v>48</v>
      </c>
      <c r="L252" s="3" t="s">
        <v>32</v>
      </c>
      <c r="M252" s="3" t="s">
        <v>675</v>
      </c>
      <c r="N252" s="8" t="str">
        <f>HYPERLINK("http://slimages.macys.com/is/image/MCY/8810083 ")</f>
        <v xml:space="preserve">http://slimages.macys.com/is/image/MCY/8810083 </v>
      </c>
    </row>
    <row r="253" spans="1:14" ht="48" x14ac:dyDescent="0.25">
      <c r="A253" s="7" t="s">
        <v>893</v>
      </c>
      <c r="B253" s="3" t="s">
        <v>894</v>
      </c>
      <c r="C253" s="4">
        <v>1</v>
      </c>
      <c r="D253" s="5">
        <v>14.25</v>
      </c>
      <c r="E253" s="5">
        <v>34.99</v>
      </c>
      <c r="F253" s="4" t="s">
        <v>895</v>
      </c>
      <c r="G253" s="3"/>
      <c r="H253" s="7"/>
      <c r="I253" s="5">
        <v>8.3125</v>
      </c>
      <c r="J253" s="3" t="s">
        <v>80</v>
      </c>
      <c r="K253" s="3" t="s">
        <v>896</v>
      </c>
      <c r="L253" s="3" t="s">
        <v>32</v>
      </c>
      <c r="M253" s="3" t="s">
        <v>897</v>
      </c>
      <c r="N253" s="8" t="str">
        <f>HYPERLINK("http://slimages.macys.com/is/image/MCY/11447654 ")</f>
        <v xml:space="preserve">http://slimages.macys.com/is/image/MCY/11447654 </v>
      </c>
    </row>
    <row r="254" spans="1:14" ht="48" x14ac:dyDescent="0.25">
      <c r="A254" s="7" t="s">
        <v>898</v>
      </c>
      <c r="B254" s="3" t="s">
        <v>899</v>
      </c>
      <c r="C254" s="4">
        <v>2</v>
      </c>
      <c r="D254" s="5">
        <v>14.25</v>
      </c>
      <c r="E254" s="5">
        <v>29.99</v>
      </c>
      <c r="F254" s="4" t="s">
        <v>900</v>
      </c>
      <c r="G254" s="3" t="s">
        <v>114</v>
      </c>
      <c r="H254" s="7" t="s">
        <v>655</v>
      </c>
      <c r="I254" s="5">
        <v>8.3125</v>
      </c>
      <c r="J254" s="3" t="s">
        <v>80</v>
      </c>
      <c r="K254" s="3" t="s">
        <v>878</v>
      </c>
      <c r="L254" s="3" t="s">
        <v>32</v>
      </c>
      <c r="M254" s="3" t="s">
        <v>901</v>
      </c>
      <c r="N254" s="8" t="str">
        <f>HYPERLINK("http://slimages.macys.com/is/image/MCY/11838422 ")</f>
        <v xml:space="preserve">http://slimages.macys.com/is/image/MCY/11838422 </v>
      </c>
    </row>
    <row r="255" spans="1:14" ht="72" x14ac:dyDescent="0.25">
      <c r="A255" s="7" t="s">
        <v>902</v>
      </c>
      <c r="B255" s="3" t="s">
        <v>903</v>
      </c>
      <c r="C255" s="4">
        <v>1</v>
      </c>
      <c r="D255" s="5">
        <v>14.25</v>
      </c>
      <c r="E255" s="5">
        <v>34.99</v>
      </c>
      <c r="F255" s="4" t="s">
        <v>904</v>
      </c>
      <c r="G255" s="3" t="s">
        <v>840</v>
      </c>
      <c r="H255" s="7"/>
      <c r="I255" s="5">
        <v>8.3125</v>
      </c>
      <c r="J255" s="3" t="s">
        <v>80</v>
      </c>
      <c r="K255" s="3" t="s">
        <v>48</v>
      </c>
      <c r="L255" s="3" t="s">
        <v>32</v>
      </c>
      <c r="M255" s="3" t="s">
        <v>675</v>
      </c>
      <c r="N255" s="8" t="str">
        <f>HYPERLINK("http://slimages.macys.com/is/image/MCY/8810083 ")</f>
        <v xml:space="preserve">http://slimages.macys.com/is/image/MCY/8810083 </v>
      </c>
    </row>
    <row r="256" spans="1:14" ht="48" x14ac:dyDescent="0.25">
      <c r="A256" s="7" t="s">
        <v>905</v>
      </c>
      <c r="B256" s="3" t="s">
        <v>906</v>
      </c>
      <c r="C256" s="4">
        <v>1</v>
      </c>
      <c r="D256" s="5">
        <v>16.59</v>
      </c>
      <c r="E256" s="5">
        <v>39.99</v>
      </c>
      <c r="F256" s="4">
        <v>100109272</v>
      </c>
      <c r="G256" s="3" t="s">
        <v>53</v>
      </c>
      <c r="H256" s="7"/>
      <c r="I256" s="5">
        <v>8.2950000000000017</v>
      </c>
      <c r="J256" s="3" t="s">
        <v>543</v>
      </c>
      <c r="K256" s="3" t="s">
        <v>907</v>
      </c>
      <c r="L256" s="3"/>
      <c r="M256" s="3"/>
      <c r="N256" s="8" t="str">
        <f>HYPERLINK("http://slimages.macys.com/is/image/MCY/17902269 ")</f>
        <v xml:space="preserve">http://slimages.macys.com/is/image/MCY/17902269 </v>
      </c>
    </row>
    <row r="257" spans="1:14" ht="48" x14ac:dyDescent="0.25">
      <c r="A257" s="7" t="s">
        <v>908</v>
      </c>
      <c r="B257" s="3" t="s">
        <v>909</v>
      </c>
      <c r="C257" s="4">
        <v>1</v>
      </c>
      <c r="D257" s="5">
        <v>16.59</v>
      </c>
      <c r="E257" s="5">
        <v>39.99</v>
      </c>
      <c r="F257" s="4">
        <v>100109281</v>
      </c>
      <c r="G257" s="3" t="s">
        <v>29</v>
      </c>
      <c r="H257" s="7"/>
      <c r="I257" s="5">
        <v>8.2950000000000017</v>
      </c>
      <c r="J257" s="3" t="s">
        <v>543</v>
      </c>
      <c r="K257" s="3" t="s">
        <v>907</v>
      </c>
      <c r="L257" s="3"/>
      <c r="M257" s="3"/>
      <c r="N257" s="8" t="str">
        <f>HYPERLINK("http://slimages.macys.com/is/image/MCY/17902273 ")</f>
        <v xml:space="preserve">http://slimages.macys.com/is/image/MCY/17902273 </v>
      </c>
    </row>
    <row r="258" spans="1:14" ht="60" x14ac:dyDescent="0.25">
      <c r="A258" s="7" t="s">
        <v>910</v>
      </c>
      <c r="B258" s="3" t="s">
        <v>911</v>
      </c>
      <c r="C258" s="4">
        <v>1</v>
      </c>
      <c r="D258" s="5">
        <v>16.59</v>
      </c>
      <c r="E258" s="5">
        <v>49.99</v>
      </c>
      <c r="F258" s="4" t="s">
        <v>912</v>
      </c>
      <c r="G258" s="3" t="s">
        <v>114</v>
      </c>
      <c r="H258" s="7"/>
      <c r="I258" s="5">
        <v>8.2950000000000017</v>
      </c>
      <c r="J258" s="3" t="s">
        <v>100</v>
      </c>
      <c r="K258" s="3" t="s">
        <v>101</v>
      </c>
      <c r="L258" s="3" t="s">
        <v>32</v>
      </c>
      <c r="M258" s="3"/>
      <c r="N258" s="8" t="str">
        <f>HYPERLINK("http://slimages.macys.com/is/image/MCY/16633342 ")</f>
        <v xml:space="preserve">http://slimages.macys.com/is/image/MCY/16633342 </v>
      </c>
    </row>
    <row r="259" spans="1:14" ht="48" x14ac:dyDescent="0.25">
      <c r="A259" s="7" t="s">
        <v>913</v>
      </c>
      <c r="B259" s="3" t="s">
        <v>914</v>
      </c>
      <c r="C259" s="4">
        <v>1</v>
      </c>
      <c r="D259" s="5">
        <v>14.13</v>
      </c>
      <c r="E259" s="5">
        <v>29.99</v>
      </c>
      <c r="F259" s="4" t="s">
        <v>915</v>
      </c>
      <c r="G259" s="3" t="s">
        <v>59</v>
      </c>
      <c r="H259" s="7" t="s">
        <v>542</v>
      </c>
      <c r="I259" s="5">
        <v>8.2424999999999997</v>
      </c>
      <c r="J259" s="3" t="s">
        <v>80</v>
      </c>
      <c r="K259" s="3" t="s">
        <v>48</v>
      </c>
      <c r="L259" s="3" t="s">
        <v>32</v>
      </c>
      <c r="M259" s="3" t="s">
        <v>789</v>
      </c>
      <c r="N259" s="8" t="str">
        <f>HYPERLINK("http://slimages.macys.com/is/image/MCY/9602958 ")</f>
        <v xml:space="preserve">http://slimages.macys.com/is/image/MCY/9602958 </v>
      </c>
    </row>
    <row r="260" spans="1:14" ht="48" x14ac:dyDescent="0.25">
      <c r="A260" s="7" t="s">
        <v>916</v>
      </c>
      <c r="B260" s="3" t="s">
        <v>917</v>
      </c>
      <c r="C260" s="4">
        <v>1</v>
      </c>
      <c r="D260" s="5">
        <v>16.48</v>
      </c>
      <c r="E260" s="5">
        <v>39.99</v>
      </c>
      <c r="F260" s="4">
        <v>100071331</v>
      </c>
      <c r="G260" s="3" t="s">
        <v>53</v>
      </c>
      <c r="H260" s="7"/>
      <c r="I260" s="5">
        <v>8.24</v>
      </c>
      <c r="J260" s="3" t="s">
        <v>543</v>
      </c>
      <c r="K260" s="3" t="s">
        <v>907</v>
      </c>
      <c r="L260" s="3" t="s">
        <v>32</v>
      </c>
      <c r="M260" s="3"/>
      <c r="N260" s="8" t="str">
        <f>HYPERLINK("http://slimages.macys.com/is/image/MCY/14337673 ")</f>
        <v xml:space="preserve">http://slimages.macys.com/is/image/MCY/14337673 </v>
      </c>
    </row>
    <row r="261" spans="1:14" ht="60" x14ac:dyDescent="0.25">
      <c r="A261" s="7" t="s">
        <v>918</v>
      </c>
      <c r="B261" s="3" t="s">
        <v>919</v>
      </c>
      <c r="C261" s="4">
        <v>1</v>
      </c>
      <c r="D261" s="5">
        <v>16.48</v>
      </c>
      <c r="E261" s="5">
        <v>49.99</v>
      </c>
      <c r="F261" s="4" t="s">
        <v>920</v>
      </c>
      <c r="G261" s="3" t="s">
        <v>220</v>
      </c>
      <c r="H261" s="7"/>
      <c r="I261" s="5">
        <v>8.24</v>
      </c>
      <c r="J261" s="3" t="s">
        <v>570</v>
      </c>
      <c r="K261" s="3" t="s">
        <v>921</v>
      </c>
      <c r="L261" s="3" t="s">
        <v>32</v>
      </c>
      <c r="M261" s="3" t="s">
        <v>303</v>
      </c>
      <c r="N261" s="8" t="str">
        <f>HYPERLINK("http://slimages.macys.com/is/image/MCY/2620611 ")</f>
        <v xml:space="preserve">http://slimages.macys.com/is/image/MCY/2620611 </v>
      </c>
    </row>
    <row r="262" spans="1:14" ht="48" x14ac:dyDescent="0.25">
      <c r="A262" s="7" t="s">
        <v>922</v>
      </c>
      <c r="B262" s="3" t="s">
        <v>923</v>
      </c>
      <c r="C262" s="4">
        <v>1</v>
      </c>
      <c r="D262" s="5">
        <v>14</v>
      </c>
      <c r="E262" s="5">
        <v>29.99</v>
      </c>
      <c r="F262" s="4" t="s">
        <v>924</v>
      </c>
      <c r="G262" s="3" t="s">
        <v>205</v>
      </c>
      <c r="H262" s="7"/>
      <c r="I262" s="5">
        <v>8.1666666666666679</v>
      </c>
      <c r="J262" s="3" t="s">
        <v>80</v>
      </c>
      <c r="K262" s="3" t="s">
        <v>882</v>
      </c>
      <c r="L262" s="3" t="s">
        <v>32</v>
      </c>
      <c r="M262" s="3" t="s">
        <v>76</v>
      </c>
      <c r="N262" s="8" t="str">
        <f>HYPERLINK("http://slimages.macys.com/is/image/MCY/11926858 ")</f>
        <v xml:space="preserve">http://slimages.macys.com/is/image/MCY/11926858 </v>
      </c>
    </row>
    <row r="263" spans="1:14" ht="60" x14ac:dyDescent="0.25">
      <c r="A263" s="7" t="s">
        <v>925</v>
      </c>
      <c r="B263" s="3" t="s">
        <v>926</v>
      </c>
      <c r="C263" s="4">
        <v>1</v>
      </c>
      <c r="D263" s="5">
        <v>16.260000000000002</v>
      </c>
      <c r="E263" s="5">
        <v>44.99</v>
      </c>
      <c r="F263" s="4" t="s">
        <v>927</v>
      </c>
      <c r="G263" s="3" t="s">
        <v>109</v>
      </c>
      <c r="H263" s="7"/>
      <c r="I263" s="5">
        <v>8.1300000000000008</v>
      </c>
      <c r="J263" s="3" t="s">
        <v>47</v>
      </c>
      <c r="K263" s="3" t="s">
        <v>355</v>
      </c>
      <c r="L263" s="3" t="s">
        <v>32</v>
      </c>
      <c r="M263" s="3" t="s">
        <v>928</v>
      </c>
      <c r="N263" s="8" t="str">
        <f>HYPERLINK("http://slimages.macys.com/is/image/MCY/10005660 ")</f>
        <v xml:space="preserve">http://slimages.macys.com/is/image/MCY/10005660 </v>
      </c>
    </row>
    <row r="264" spans="1:14" ht="60" x14ac:dyDescent="0.25">
      <c r="A264" s="7" t="s">
        <v>929</v>
      </c>
      <c r="B264" s="3" t="s">
        <v>930</v>
      </c>
      <c r="C264" s="4">
        <v>1</v>
      </c>
      <c r="D264" s="5">
        <v>16.260000000000002</v>
      </c>
      <c r="E264" s="5">
        <v>44.99</v>
      </c>
      <c r="F264" s="4" t="s">
        <v>931</v>
      </c>
      <c r="G264" s="3" t="s">
        <v>109</v>
      </c>
      <c r="H264" s="7"/>
      <c r="I264" s="5">
        <v>8.1300000000000008</v>
      </c>
      <c r="J264" s="3" t="s">
        <v>47</v>
      </c>
      <c r="K264" s="3" t="s">
        <v>355</v>
      </c>
      <c r="L264" s="3" t="s">
        <v>32</v>
      </c>
      <c r="M264" s="3" t="s">
        <v>928</v>
      </c>
      <c r="N264" s="8" t="str">
        <f>HYPERLINK("http://slimages.macys.com/is/image/MCY/10005660 ")</f>
        <v xml:space="preserve">http://slimages.macys.com/is/image/MCY/10005660 </v>
      </c>
    </row>
    <row r="265" spans="1:14" ht="48" x14ac:dyDescent="0.25">
      <c r="A265" s="7" t="s">
        <v>932</v>
      </c>
      <c r="B265" s="3" t="s">
        <v>933</v>
      </c>
      <c r="C265" s="4">
        <v>1</v>
      </c>
      <c r="D265" s="5">
        <v>16.239999999999998</v>
      </c>
      <c r="E265" s="5">
        <v>69.989999999999995</v>
      </c>
      <c r="F265" s="4" t="s">
        <v>934</v>
      </c>
      <c r="G265" s="3" t="s">
        <v>114</v>
      </c>
      <c r="H265" s="7"/>
      <c r="I265" s="5">
        <v>8.120000000000001</v>
      </c>
      <c r="J265" s="3" t="s">
        <v>65</v>
      </c>
      <c r="K265" s="3" t="s">
        <v>66</v>
      </c>
      <c r="L265" s="3"/>
      <c r="M265" s="3"/>
      <c r="N265" s="8" t="str">
        <f>HYPERLINK("http://slimages.macys.com/is/image/MCY/16833470 ")</f>
        <v xml:space="preserve">http://slimages.macys.com/is/image/MCY/16833470 </v>
      </c>
    </row>
    <row r="266" spans="1:14" ht="48" x14ac:dyDescent="0.25">
      <c r="A266" s="7" t="s">
        <v>935</v>
      </c>
      <c r="B266" s="3" t="s">
        <v>936</v>
      </c>
      <c r="C266" s="4">
        <v>3</v>
      </c>
      <c r="D266" s="5">
        <v>13.9</v>
      </c>
      <c r="E266" s="5">
        <v>30.99</v>
      </c>
      <c r="F266" s="4" t="s">
        <v>937</v>
      </c>
      <c r="G266" s="3" t="s">
        <v>114</v>
      </c>
      <c r="H266" s="7"/>
      <c r="I266" s="5">
        <v>8.1083333333333343</v>
      </c>
      <c r="J266" s="3" t="s">
        <v>80</v>
      </c>
      <c r="K266" s="3" t="s">
        <v>48</v>
      </c>
      <c r="L266" s="3" t="s">
        <v>32</v>
      </c>
      <c r="M266" s="3"/>
      <c r="N266" s="8" t="str">
        <f>HYPERLINK("http://slimages.macys.com/is/image/MCY/10010883 ")</f>
        <v xml:space="preserve">http://slimages.macys.com/is/image/MCY/10010883 </v>
      </c>
    </row>
    <row r="267" spans="1:14" ht="48" x14ac:dyDescent="0.25">
      <c r="A267" s="7" t="s">
        <v>938</v>
      </c>
      <c r="B267" s="3" t="s">
        <v>939</v>
      </c>
      <c r="C267" s="4">
        <v>4</v>
      </c>
      <c r="D267" s="5">
        <v>13.77</v>
      </c>
      <c r="E267" s="5">
        <v>40.99</v>
      </c>
      <c r="F267" s="4">
        <v>615691</v>
      </c>
      <c r="G267" s="3" t="s">
        <v>53</v>
      </c>
      <c r="H267" s="7"/>
      <c r="I267" s="5">
        <v>8.0325000000000006</v>
      </c>
      <c r="J267" s="3" t="s">
        <v>80</v>
      </c>
      <c r="K267" s="3" t="s">
        <v>830</v>
      </c>
      <c r="L267" s="3" t="s">
        <v>32</v>
      </c>
      <c r="M267" s="3" t="s">
        <v>208</v>
      </c>
      <c r="N267" s="8" t="str">
        <f>HYPERLINK("http://slimages.macys.com/is/image/MCY/10092648 ")</f>
        <v xml:space="preserve">http://slimages.macys.com/is/image/MCY/10092648 </v>
      </c>
    </row>
    <row r="268" spans="1:14" ht="48" x14ac:dyDescent="0.25">
      <c r="A268" s="7" t="s">
        <v>940</v>
      </c>
      <c r="B268" s="3" t="s">
        <v>941</v>
      </c>
      <c r="C268" s="4">
        <v>1</v>
      </c>
      <c r="D268" s="5">
        <v>13</v>
      </c>
      <c r="E268" s="5">
        <v>26.99</v>
      </c>
      <c r="F268" s="4" t="s">
        <v>942</v>
      </c>
      <c r="G268" s="3" t="s">
        <v>220</v>
      </c>
      <c r="H268" s="7"/>
      <c r="I268" s="5">
        <v>8.0166666666666657</v>
      </c>
      <c r="J268" s="3" t="s">
        <v>380</v>
      </c>
      <c r="K268" s="3" t="s">
        <v>736</v>
      </c>
      <c r="L268" s="3" t="s">
        <v>32</v>
      </c>
      <c r="M268" s="3" t="s">
        <v>39</v>
      </c>
      <c r="N268" s="8" t="str">
        <f>HYPERLINK("http://slimages.macys.com/is/image/MCY/2355755 ")</f>
        <v xml:space="preserve">http://slimages.macys.com/is/image/MCY/2355755 </v>
      </c>
    </row>
    <row r="269" spans="1:14" ht="48" x14ac:dyDescent="0.25">
      <c r="A269" s="7" t="s">
        <v>943</v>
      </c>
      <c r="B269" s="3" t="s">
        <v>944</v>
      </c>
      <c r="C269" s="4">
        <v>1</v>
      </c>
      <c r="D269" s="5">
        <v>16</v>
      </c>
      <c r="E269" s="5">
        <v>47.99</v>
      </c>
      <c r="F269" s="4" t="s">
        <v>945</v>
      </c>
      <c r="G269" s="3" t="s">
        <v>59</v>
      </c>
      <c r="H269" s="7"/>
      <c r="I269" s="5">
        <v>8</v>
      </c>
      <c r="J269" s="3" t="s">
        <v>47</v>
      </c>
      <c r="K269" s="3" t="s">
        <v>946</v>
      </c>
      <c r="L269" s="3" t="s">
        <v>32</v>
      </c>
      <c r="M269" s="3" t="s">
        <v>303</v>
      </c>
      <c r="N269" s="8" t="str">
        <f>HYPERLINK("http://slimages.macys.com/is/image/MCY/11629088 ")</f>
        <v xml:space="preserve">http://slimages.macys.com/is/image/MCY/11629088 </v>
      </c>
    </row>
    <row r="270" spans="1:14" ht="48" x14ac:dyDescent="0.25">
      <c r="A270" s="7" t="s">
        <v>947</v>
      </c>
      <c r="B270" s="3" t="s">
        <v>948</v>
      </c>
      <c r="C270" s="4">
        <v>3</v>
      </c>
      <c r="D270" s="5">
        <v>15.97</v>
      </c>
      <c r="E270" s="5">
        <v>39.99</v>
      </c>
      <c r="F270" s="4">
        <v>100109274</v>
      </c>
      <c r="G270" s="3" t="s">
        <v>53</v>
      </c>
      <c r="H270" s="7"/>
      <c r="I270" s="5">
        <v>7.9850000000000012</v>
      </c>
      <c r="J270" s="3" t="s">
        <v>543</v>
      </c>
      <c r="K270" s="3" t="s">
        <v>907</v>
      </c>
      <c r="L270" s="3"/>
      <c r="M270" s="3"/>
      <c r="N270" s="8" t="str">
        <f>HYPERLINK("http://slimages.macys.com/is/image/MCY/17902270 ")</f>
        <v xml:space="preserve">http://slimages.macys.com/is/image/MCY/17902270 </v>
      </c>
    </row>
    <row r="271" spans="1:14" ht="48" x14ac:dyDescent="0.25">
      <c r="A271" s="7" t="s">
        <v>949</v>
      </c>
      <c r="B271" s="3" t="s">
        <v>950</v>
      </c>
      <c r="C271" s="4">
        <v>1</v>
      </c>
      <c r="D271" s="5">
        <v>13.57</v>
      </c>
      <c r="E271" s="5">
        <v>24.99</v>
      </c>
      <c r="F271" s="4" t="s">
        <v>951</v>
      </c>
      <c r="G271" s="3" t="s">
        <v>29</v>
      </c>
      <c r="H271" s="7"/>
      <c r="I271" s="5">
        <v>7.9158333333333344</v>
      </c>
      <c r="J271" s="3" t="s">
        <v>80</v>
      </c>
      <c r="K271" s="3" t="s">
        <v>48</v>
      </c>
      <c r="L271" s="3" t="s">
        <v>32</v>
      </c>
      <c r="M271" s="3"/>
      <c r="N271" s="8" t="str">
        <f>HYPERLINK("http://slimages.macys.com/is/image/MCY/10010840 ")</f>
        <v xml:space="preserve">http://slimages.macys.com/is/image/MCY/10010840 </v>
      </c>
    </row>
    <row r="272" spans="1:14" ht="48" x14ac:dyDescent="0.25">
      <c r="A272" s="7" t="s">
        <v>949</v>
      </c>
      <c r="B272" s="3" t="s">
        <v>950</v>
      </c>
      <c r="C272" s="4">
        <v>3</v>
      </c>
      <c r="D272" s="5">
        <v>13.57</v>
      </c>
      <c r="E272" s="5">
        <v>24.99</v>
      </c>
      <c r="F272" s="4" t="s">
        <v>951</v>
      </c>
      <c r="G272" s="3" t="s">
        <v>29</v>
      </c>
      <c r="H272" s="7"/>
      <c r="I272" s="5">
        <v>7.9158333333333344</v>
      </c>
      <c r="J272" s="3" t="s">
        <v>80</v>
      </c>
      <c r="K272" s="3" t="s">
        <v>48</v>
      </c>
      <c r="L272" s="3" t="s">
        <v>32</v>
      </c>
      <c r="M272" s="3"/>
      <c r="N272" s="8" t="str">
        <f>HYPERLINK("http://slimages.macys.com/is/image/MCY/10010840 ")</f>
        <v xml:space="preserve">http://slimages.macys.com/is/image/MCY/10010840 </v>
      </c>
    </row>
    <row r="273" spans="1:14" ht="48" x14ac:dyDescent="0.25">
      <c r="A273" s="7" t="s">
        <v>949</v>
      </c>
      <c r="B273" s="3" t="s">
        <v>950</v>
      </c>
      <c r="C273" s="4">
        <v>1</v>
      </c>
      <c r="D273" s="5">
        <v>13.57</v>
      </c>
      <c r="E273" s="5">
        <v>24.99</v>
      </c>
      <c r="F273" s="4" t="s">
        <v>951</v>
      </c>
      <c r="G273" s="3" t="s">
        <v>29</v>
      </c>
      <c r="H273" s="7"/>
      <c r="I273" s="5">
        <v>7.9158333333333344</v>
      </c>
      <c r="J273" s="3" t="s">
        <v>80</v>
      </c>
      <c r="K273" s="3" t="s">
        <v>48</v>
      </c>
      <c r="L273" s="3" t="s">
        <v>32</v>
      </c>
      <c r="M273" s="3"/>
      <c r="N273" s="8" t="str">
        <f>HYPERLINK("http://slimages.macys.com/is/image/MCY/10010840 ")</f>
        <v xml:space="preserve">http://slimages.macys.com/is/image/MCY/10010840 </v>
      </c>
    </row>
    <row r="274" spans="1:14" ht="48" x14ac:dyDescent="0.25">
      <c r="A274" s="7" t="s">
        <v>949</v>
      </c>
      <c r="B274" s="3" t="s">
        <v>950</v>
      </c>
      <c r="C274" s="4">
        <v>4</v>
      </c>
      <c r="D274" s="5">
        <v>13.57</v>
      </c>
      <c r="E274" s="5">
        <v>24.99</v>
      </c>
      <c r="F274" s="4" t="s">
        <v>951</v>
      </c>
      <c r="G274" s="3" t="s">
        <v>29</v>
      </c>
      <c r="H274" s="7"/>
      <c r="I274" s="5">
        <v>7.9158333333333344</v>
      </c>
      <c r="J274" s="3" t="s">
        <v>80</v>
      </c>
      <c r="K274" s="3" t="s">
        <v>48</v>
      </c>
      <c r="L274" s="3" t="s">
        <v>32</v>
      </c>
      <c r="M274" s="3"/>
      <c r="N274" s="8" t="str">
        <f>HYPERLINK("http://slimages.macys.com/is/image/MCY/10010840 ")</f>
        <v xml:space="preserve">http://slimages.macys.com/is/image/MCY/10010840 </v>
      </c>
    </row>
    <row r="275" spans="1:14" ht="48" x14ac:dyDescent="0.25">
      <c r="A275" s="7" t="s">
        <v>952</v>
      </c>
      <c r="B275" s="3" t="s">
        <v>953</v>
      </c>
      <c r="C275" s="4">
        <v>1</v>
      </c>
      <c r="D275" s="5">
        <v>15.66</v>
      </c>
      <c r="E275" s="5">
        <v>39.99</v>
      </c>
      <c r="F275" s="4" t="s">
        <v>954</v>
      </c>
      <c r="G275" s="3" t="s">
        <v>36</v>
      </c>
      <c r="H275" s="7" t="s">
        <v>683</v>
      </c>
      <c r="I275" s="5">
        <v>7.830000000000001</v>
      </c>
      <c r="J275" s="3" t="s">
        <v>186</v>
      </c>
      <c r="K275" s="3" t="s">
        <v>207</v>
      </c>
      <c r="L275" s="3" t="s">
        <v>32</v>
      </c>
      <c r="M275" s="3" t="s">
        <v>955</v>
      </c>
      <c r="N275" s="8" t="str">
        <f>HYPERLINK("http://slimages.macys.com/is/image/MCY/8736233 ")</f>
        <v xml:space="preserve">http://slimages.macys.com/is/image/MCY/8736233 </v>
      </c>
    </row>
    <row r="276" spans="1:14" ht="48" x14ac:dyDescent="0.25">
      <c r="A276" s="7" t="s">
        <v>956</v>
      </c>
      <c r="B276" s="3" t="s">
        <v>957</v>
      </c>
      <c r="C276" s="4">
        <v>2</v>
      </c>
      <c r="D276" s="5">
        <v>15.63</v>
      </c>
      <c r="E276" s="5">
        <v>29.99</v>
      </c>
      <c r="F276" s="4">
        <v>100109276</v>
      </c>
      <c r="G276" s="3" t="s">
        <v>122</v>
      </c>
      <c r="H276" s="7"/>
      <c r="I276" s="5">
        <v>7.8150000000000004</v>
      </c>
      <c r="J276" s="3" t="s">
        <v>543</v>
      </c>
      <c r="K276" s="3" t="s">
        <v>907</v>
      </c>
      <c r="L276" s="3"/>
      <c r="M276" s="3"/>
      <c r="N276" s="8" t="str">
        <f>HYPERLINK("http://slimages.macys.com/is/image/MCY/17902271 ")</f>
        <v xml:space="preserve">http://slimages.macys.com/is/image/MCY/17902271 </v>
      </c>
    </row>
    <row r="277" spans="1:14" ht="48" x14ac:dyDescent="0.25">
      <c r="A277" s="7" t="s">
        <v>956</v>
      </c>
      <c r="B277" s="3" t="s">
        <v>957</v>
      </c>
      <c r="C277" s="4">
        <v>6</v>
      </c>
      <c r="D277" s="5">
        <v>15.63</v>
      </c>
      <c r="E277" s="5">
        <v>29.99</v>
      </c>
      <c r="F277" s="4">
        <v>100109276</v>
      </c>
      <c r="G277" s="3" t="s">
        <v>122</v>
      </c>
      <c r="H277" s="7"/>
      <c r="I277" s="5">
        <v>7.8150000000000004</v>
      </c>
      <c r="J277" s="3" t="s">
        <v>543</v>
      </c>
      <c r="K277" s="3" t="s">
        <v>907</v>
      </c>
      <c r="L277" s="3"/>
      <c r="M277" s="3"/>
      <c r="N277" s="8" t="str">
        <f>HYPERLINK("http://slimages.macys.com/is/image/MCY/17902271 ")</f>
        <v xml:space="preserve">http://slimages.macys.com/is/image/MCY/17902271 </v>
      </c>
    </row>
    <row r="278" spans="1:14" ht="48" x14ac:dyDescent="0.25">
      <c r="A278" s="7" t="s">
        <v>956</v>
      </c>
      <c r="B278" s="3" t="s">
        <v>957</v>
      </c>
      <c r="C278" s="4">
        <v>5</v>
      </c>
      <c r="D278" s="5">
        <v>15.63</v>
      </c>
      <c r="E278" s="5">
        <v>29.99</v>
      </c>
      <c r="F278" s="4">
        <v>100109276</v>
      </c>
      <c r="G278" s="3" t="s">
        <v>122</v>
      </c>
      <c r="H278" s="7"/>
      <c r="I278" s="5">
        <v>7.8150000000000004</v>
      </c>
      <c r="J278" s="3" t="s">
        <v>543</v>
      </c>
      <c r="K278" s="3" t="s">
        <v>907</v>
      </c>
      <c r="L278" s="3"/>
      <c r="M278" s="3"/>
      <c r="N278" s="8" t="str">
        <f>HYPERLINK("http://slimages.macys.com/is/image/MCY/17902271 ")</f>
        <v xml:space="preserve">http://slimages.macys.com/is/image/MCY/17902271 </v>
      </c>
    </row>
    <row r="279" spans="1:14" ht="48" x14ac:dyDescent="0.25">
      <c r="A279" s="7" t="s">
        <v>956</v>
      </c>
      <c r="B279" s="3" t="s">
        <v>957</v>
      </c>
      <c r="C279" s="4">
        <v>6</v>
      </c>
      <c r="D279" s="5">
        <v>15.63</v>
      </c>
      <c r="E279" s="5">
        <v>29.99</v>
      </c>
      <c r="F279" s="4">
        <v>100109276</v>
      </c>
      <c r="G279" s="3" t="s">
        <v>122</v>
      </c>
      <c r="H279" s="7"/>
      <c r="I279" s="5">
        <v>7.8150000000000004</v>
      </c>
      <c r="J279" s="3" t="s">
        <v>543</v>
      </c>
      <c r="K279" s="3" t="s">
        <v>907</v>
      </c>
      <c r="L279" s="3"/>
      <c r="M279" s="3"/>
      <c r="N279" s="8" t="str">
        <f>HYPERLINK("http://slimages.macys.com/is/image/MCY/17902271 ")</f>
        <v xml:space="preserve">http://slimages.macys.com/is/image/MCY/17902271 </v>
      </c>
    </row>
    <row r="280" spans="1:14" ht="48" x14ac:dyDescent="0.25">
      <c r="A280" s="7" t="s">
        <v>958</v>
      </c>
      <c r="B280" s="3" t="s">
        <v>959</v>
      </c>
      <c r="C280" s="4">
        <v>1</v>
      </c>
      <c r="D280" s="5">
        <v>15.62</v>
      </c>
      <c r="E280" s="5">
        <v>39.99</v>
      </c>
      <c r="F280" s="4">
        <v>100048756</v>
      </c>
      <c r="G280" s="3" t="s">
        <v>59</v>
      </c>
      <c r="H280" s="7" t="s">
        <v>960</v>
      </c>
      <c r="I280" s="5">
        <v>7.8100000000000005</v>
      </c>
      <c r="J280" s="3" t="s">
        <v>506</v>
      </c>
      <c r="K280" s="3" t="s">
        <v>961</v>
      </c>
      <c r="L280" s="3" t="s">
        <v>32</v>
      </c>
      <c r="M280" s="3"/>
      <c r="N280" s="8" t="str">
        <f>HYPERLINK("http://slimages.macys.com/is/image/MCY/11320914 ")</f>
        <v xml:space="preserve">http://slimages.macys.com/is/image/MCY/11320914 </v>
      </c>
    </row>
    <row r="281" spans="1:14" ht="48" x14ac:dyDescent="0.25">
      <c r="A281" s="7" t="s">
        <v>962</v>
      </c>
      <c r="B281" s="3" t="s">
        <v>963</v>
      </c>
      <c r="C281" s="4">
        <v>1</v>
      </c>
      <c r="D281" s="5">
        <v>15.57</v>
      </c>
      <c r="E281" s="5">
        <v>49.99</v>
      </c>
      <c r="F281" s="4">
        <v>100071382</v>
      </c>
      <c r="G281" s="3" t="s">
        <v>114</v>
      </c>
      <c r="H281" s="7" t="s">
        <v>964</v>
      </c>
      <c r="I281" s="5">
        <v>7.785000000000001</v>
      </c>
      <c r="J281" s="3" t="s">
        <v>543</v>
      </c>
      <c r="K281" s="3" t="s">
        <v>965</v>
      </c>
      <c r="L281" s="3" t="s">
        <v>32</v>
      </c>
      <c r="M281" s="3"/>
      <c r="N281" s="8" t="str">
        <f>HYPERLINK("http://slimages.macys.com/is/image/MCY/13838753 ")</f>
        <v xml:space="preserve">http://slimages.macys.com/is/image/MCY/13838753 </v>
      </c>
    </row>
    <row r="282" spans="1:14" ht="120" x14ac:dyDescent="0.25">
      <c r="A282" s="7" t="s">
        <v>966</v>
      </c>
      <c r="B282" s="3" t="s">
        <v>967</v>
      </c>
      <c r="C282" s="4">
        <v>1</v>
      </c>
      <c r="D282" s="5">
        <v>12.57</v>
      </c>
      <c r="E282" s="5">
        <v>26.99</v>
      </c>
      <c r="F282" s="4" t="s">
        <v>968</v>
      </c>
      <c r="G282" s="3" t="s">
        <v>332</v>
      </c>
      <c r="H282" s="7"/>
      <c r="I282" s="5">
        <v>7.7515000000000001</v>
      </c>
      <c r="J282" s="3" t="s">
        <v>380</v>
      </c>
      <c r="K282" s="3" t="s">
        <v>48</v>
      </c>
      <c r="L282" s="3" t="s">
        <v>32</v>
      </c>
      <c r="M282" s="3" t="s">
        <v>969</v>
      </c>
      <c r="N282" s="8" t="str">
        <f>HYPERLINK("http://slimages.macys.com/is/image/MCY/10082246 ")</f>
        <v xml:space="preserve">http://slimages.macys.com/is/image/MCY/10082246 </v>
      </c>
    </row>
    <row r="283" spans="1:14" ht="48" x14ac:dyDescent="0.25">
      <c r="A283" s="7" t="s">
        <v>970</v>
      </c>
      <c r="B283" s="3" t="s">
        <v>971</v>
      </c>
      <c r="C283" s="4">
        <v>1</v>
      </c>
      <c r="D283" s="5">
        <v>13.25</v>
      </c>
      <c r="E283" s="5">
        <v>29.99</v>
      </c>
      <c r="F283" s="4" t="s">
        <v>972</v>
      </c>
      <c r="G283" s="3" t="s">
        <v>220</v>
      </c>
      <c r="H283" s="7"/>
      <c r="I283" s="5">
        <v>7.729166666666667</v>
      </c>
      <c r="J283" s="3" t="s">
        <v>80</v>
      </c>
      <c r="K283" s="3" t="s">
        <v>882</v>
      </c>
      <c r="L283" s="3" t="s">
        <v>32</v>
      </c>
      <c r="M283" s="3"/>
      <c r="N283" s="8" t="str">
        <f>HYPERLINK("http://slimages.macys.com/is/image/MCY/10043930 ")</f>
        <v xml:space="preserve">http://slimages.macys.com/is/image/MCY/10043930 </v>
      </c>
    </row>
    <row r="284" spans="1:14" ht="48" x14ac:dyDescent="0.25">
      <c r="A284" s="7" t="s">
        <v>973</v>
      </c>
      <c r="B284" s="3" t="s">
        <v>974</v>
      </c>
      <c r="C284" s="4">
        <v>1</v>
      </c>
      <c r="D284" s="5">
        <v>12.5</v>
      </c>
      <c r="E284" s="5">
        <v>27.99</v>
      </c>
      <c r="F284" s="4" t="s">
        <v>975</v>
      </c>
      <c r="G284" s="3" t="s">
        <v>114</v>
      </c>
      <c r="H284" s="7"/>
      <c r="I284" s="5">
        <v>7.7083333333333339</v>
      </c>
      <c r="J284" s="3" t="s">
        <v>380</v>
      </c>
      <c r="K284" s="3" t="s">
        <v>976</v>
      </c>
      <c r="L284" s="3" t="s">
        <v>32</v>
      </c>
      <c r="M284" s="3" t="s">
        <v>977</v>
      </c>
      <c r="N284" s="8" t="str">
        <f>HYPERLINK("http://slimages.macys.com/is/image/MCY/8332625 ")</f>
        <v xml:space="preserve">http://slimages.macys.com/is/image/MCY/8332625 </v>
      </c>
    </row>
    <row r="285" spans="1:14" ht="48" x14ac:dyDescent="0.25">
      <c r="A285" s="7" t="s">
        <v>978</v>
      </c>
      <c r="B285" s="3" t="s">
        <v>979</v>
      </c>
      <c r="C285" s="4">
        <v>3</v>
      </c>
      <c r="D285" s="5">
        <v>15.33</v>
      </c>
      <c r="E285" s="5">
        <v>39.99</v>
      </c>
      <c r="F285" s="4">
        <v>100109280</v>
      </c>
      <c r="G285" s="3" t="s">
        <v>114</v>
      </c>
      <c r="H285" s="7"/>
      <c r="I285" s="5">
        <v>7.6650000000000009</v>
      </c>
      <c r="J285" s="3" t="s">
        <v>543</v>
      </c>
      <c r="K285" s="3" t="s">
        <v>907</v>
      </c>
      <c r="L285" s="3"/>
      <c r="M285" s="3"/>
      <c r="N285" s="8" t="str">
        <f>HYPERLINK("http://slimages.macys.com/is/image/MCY/17902272 ")</f>
        <v xml:space="preserve">http://slimages.macys.com/is/image/MCY/17902272 </v>
      </c>
    </row>
    <row r="286" spans="1:14" ht="48" x14ac:dyDescent="0.25">
      <c r="A286" s="7" t="s">
        <v>978</v>
      </c>
      <c r="B286" s="3" t="s">
        <v>979</v>
      </c>
      <c r="C286" s="4">
        <v>1</v>
      </c>
      <c r="D286" s="5">
        <v>15.33</v>
      </c>
      <c r="E286" s="5">
        <v>39.99</v>
      </c>
      <c r="F286" s="4">
        <v>100109280</v>
      </c>
      <c r="G286" s="3" t="s">
        <v>114</v>
      </c>
      <c r="H286" s="7"/>
      <c r="I286" s="5">
        <v>7.6650000000000009</v>
      </c>
      <c r="J286" s="3" t="s">
        <v>543</v>
      </c>
      <c r="K286" s="3" t="s">
        <v>907</v>
      </c>
      <c r="L286" s="3"/>
      <c r="M286" s="3"/>
      <c r="N286" s="8" t="str">
        <f>HYPERLINK("http://slimages.macys.com/is/image/MCY/17902272 ")</f>
        <v xml:space="preserve">http://slimages.macys.com/is/image/MCY/17902272 </v>
      </c>
    </row>
    <row r="287" spans="1:14" ht="48" x14ac:dyDescent="0.25">
      <c r="A287" s="7" t="s">
        <v>980</v>
      </c>
      <c r="B287" s="3" t="s">
        <v>981</v>
      </c>
      <c r="C287" s="4">
        <v>1</v>
      </c>
      <c r="D287" s="5">
        <v>15.33</v>
      </c>
      <c r="E287" s="5">
        <v>48.99</v>
      </c>
      <c r="F287" s="4" t="s">
        <v>982</v>
      </c>
      <c r="G287" s="3"/>
      <c r="H287" s="7"/>
      <c r="I287" s="5">
        <v>7.6650000000000009</v>
      </c>
      <c r="J287" s="3" t="s">
        <v>47</v>
      </c>
      <c r="K287" s="3" t="s">
        <v>405</v>
      </c>
      <c r="L287" s="3" t="s">
        <v>32</v>
      </c>
      <c r="M287" s="3" t="s">
        <v>406</v>
      </c>
      <c r="N287" s="8" t="str">
        <f>HYPERLINK("http://slimages.macys.com/is/image/MCY/10974209 ")</f>
        <v xml:space="preserve">http://slimages.macys.com/is/image/MCY/10974209 </v>
      </c>
    </row>
    <row r="288" spans="1:14" ht="48" x14ac:dyDescent="0.25">
      <c r="A288" s="7" t="s">
        <v>983</v>
      </c>
      <c r="B288" s="3" t="s">
        <v>984</v>
      </c>
      <c r="C288" s="4">
        <v>1</v>
      </c>
      <c r="D288" s="5">
        <v>13.08</v>
      </c>
      <c r="E288" s="5">
        <v>39.99</v>
      </c>
      <c r="F288" s="4" t="s">
        <v>985</v>
      </c>
      <c r="G288" s="3" t="s">
        <v>29</v>
      </c>
      <c r="H288" s="7" t="s">
        <v>655</v>
      </c>
      <c r="I288" s="5">
        <v>7.6300000000000008</v>
      </c>
      <c r="J288" s="3" t="s">
        <v>80</v>
      </c>
      <c r="K288" s="3" t="s">
        <v>629</v>
      </c>
      <c r="L288" s="3" t="s">
        <v>32</v>
      </c>
      <c r="M288" s="3" t="s">
        <v>986</v>
      </c>
      <c r="N288" s="8" t="str">
        <f>HYPERLINK("http://slimages.macys.com/is/image/MCY/9456506 ")</f>
        <v xml:space="preserve">http://slimages.macys.com/is/image/MCY/9456506 </v>
      </c>
    </row>
    <row r="289" spans="1:14" ht="48" x14ac:dyDescent="0.25">
      <c r="A289" s="7" t="s">
        <v>987</v>
      </c>
      <c r="B289" s="3" t="s">
        <v>988</v>
      </c>
      <c r="C289" s="4">
        <v>1</v>
      </c>
      <c r="D289" s="5">
        <v>13.07</v>
      </c>
      <c r="E289" s="5">
        <v>27.99</v>
      </c>
      <c r="F289" s="4" t="s">
        <v>989</v>
      </c>
      <c r="G289" s="3" t="s">
        <v>137</v>
      </c>
      <c r="H289" s="7"/>
      <c r="I289" s="5">
        <v>7.6241666666666665</v>
      </c>
      <c r="J289" s="3" t="s">
        <v>80</v>
      </c>
      <c r="K289" s="3" t="s">
        <v>48</v>
      </c>
      <c r="L289" s="3" t="s">
        <v>32</v>
      </c>
      <c r="M289" s="3" t="s">
        <v>990</v>
      </c>
      <c r="N289" s="8" t="str">
        <f>HYPERLINK("http://slimages.macys.com/is/image/MCY/9614138 ")</f>
        <v xml:space="preserve">http://slimages.macys.com/is/image/MCY/9614138 </v>
      </c>
    </row>
    <row r="290" spans="1:14" ht="144" x14ac:dyDescent="0.25">
      <c r="A290" s="7" t="s">
        <v>991</v>
      </c>
      <c r="B290" s="3" t="s">
        <v>992</v>
      </c>
      <c r="C290" s="4">
        <v>1</v>
      </c>
      <c r="D290" s="5">
        <v>13</v>
      </c>
      <c r="E290" s="5">
        <v>26.99</v>
      </c>
      <c r="F290" s="4" t="s">
        <v>993</v>
      </c>
      <c r="G290" s="3" t="s">
        <v>114</v>
      </c>
      <c r="H290" s="7" t="s">
        <v>994</v>
      </c>
      <c r="I290" s="5">
        <v>7.583333333333333</v>
      </c>
      <c r="J290" s="3" t="s">
        <v>116</v>
      </c>
      <c r="K290" s="3" t="s">
        <v>848</v>
      </c>
      <c r="L290" s="3" t="s">
        <v>32</v>
      </c>
      <c r="M290" s="3" t="s">
        <v>849</v>
      </c>
      <c r="N290" s="8" t="str">
        <f>HYPERLINK("http://slimages.macys.com/is/image/MCY/3422110 ")</f>
        <v xml:space="preserve">http://slimages.macys.com/is/image/MCY/3422110 </v>
      </c>
    </row>
    <row r="291" spans="1:14" ht="48" x14ac:dyDescent="0.25">
      <c r="A291" s="7" t="s">
        <v>995</v>
      </c>
      <c r="B291" s="3" t="s">
        <v>996</v>
      </c>
      <c r="C291" s="4">
        <v>3</v>
      </c>
      <c r="D291" s="5">
        <v>13</v>
      </c>
      <c r="E291" s="5">
        <v>37.99</v>
      </c>
      <c r="F291" s="4" t="s">
        <v>997</v>
      </c>
      <c r="G291" s="3" t="s">
        <v>520</v>
      </c>
      <c r="H291" s="7"/>
      <c r="I291" s="5">
        <v>7.583333333333333</v>
      </c>
      <c r="J291" s="3" t="s">
        <v>80</v>
      </c>
      <c r="K291" s="3" t="s">
        <v>998</v>
      </c>
      <c r="L291" s="3" t="s">
        <v>32</v>
      </c>
      <c r="M291" s="3" t="s">
        <v>208</v>
      </c>
      <c r="N291" s="8" t="str">
        <f>HYPERLINK("http://slimages.macys.com/is/image/MCY/15049330 ")</f>
        <v xml:space="preserve">http://slimages.macys.com/is/image/MCY/15049330 </v>
      </c>
    </row>
    <row r="292" spans="1:14" ht="48" x14ac:dyDescent="0.25">
      <c r="A292" s="7" t="s">
        <v>999</v>
      </c>
      <c r="B292" s="3" t="s">
        <v>1000</v>
      </c>
      <c r="C292" s="4">
        <v>1</v>
      </c>
      <c r="D292" s="5">
        <v>14.99</v>
      </c>
      <c r="E292" s="5">
        <v>29.99</v>
      </c>
      <c r="F292" s="4" t="s">
        <v>1001</v>
      </c>
      <c r="G292" s="3" t="s">
        <v>114</v>
      </c>
      <c r="H292" s="7"/>
      <c r="I292" s="5">
        <v>7.4950000000000001</v>
      </c>
      <c r="J292" s="3" t="s">
        <v>1002</v>
      </c>
      <c r="K292" s="3" t="s">
        <v>1003</v>
      </c>
      <c r="L292" s="3" t="s">
        <v>32</v>
      </c>
      <c r="M292" s="3"/>
      <c r="N292" s="8" t="str">
        <f>HYPERLINK("http://slimages.macys.com/is/image/MCY/9789518 ")</f>
        <v xml:space="preserve">http://slimages.macys.com/is/image/MCY/9789518 </v>
      </c>
    </row>
    <row r="293" spans="1:14" ht="48" x14ac:dyDescent="0.25">
      <c r="A293" s="7" t="s">
        <v>1004</v>
      </c>
      <c r="B293" s="3" t="s">
        <v>1005</v>
      </c>
      <c r="C293" s="4">
        <v>1</v>
      </c>
      <c r="D293" s="5">
        <v>12.1</v>
      </c>
      <c r="E293" s="5">
        <v>28.99</v>
      </c>
      <c r="F293" s="4" t="s">
        <v>1006</v>
      </c>
      <c r="G293" s="3" t="s">
        <v>393</v>
      </c>
      <c r="H293" s="7"/>
      <c r="I293" s="5">
        <v>7.4616666666666678</v>
      </c>
      <c r="J293" s="3" t="s">
        <v>380</v>
      </c>
      <c r="K293" s="3" t="s">
        <v>597</v>
      </c>
      <c r="L293" s="3" t="s">
        <v>32</v>
      </c>
      <c r="M293" s="3" t="s">
        <v>208</v>
      </c>
      <c r="N293" s="8" t="str">
        <f>HYPERLINK("http://slimages.macys.com/is/image/MCY/15009865 ")</f>
        <v xml:space="preserve">http://slimages.macys.com/is/image/MCY/15009865 </v>
      </c>
    </row>
    <row r="294" spans="1:14" ht="60" x14ac:dyDescent="0.25">
      <c r="A294" s="7" t="s">
        <v>1007</v>
      </c>
      <c r="B294" s="3" t="s">
        <v>1008</v>
      </c>
      <c r="C294" s="4">
        <v>10</v>
      </c>
      <c r="D294" s="5">
        <v>12.79</v>
      </c>
      <c r="E294" s="5">
        <v>30.99</v>
      </c>
      <c r="F294" s="4" t="s">
        <v>1009</v>
      </c>
      <c r="G294" s="3" t="s">
        <v>114</v>
      </c>
      <c r="H294" s="7"/>
      <c r="I294" s="5">
        <v>7.4608333333333334</v>
      </c>
      <c r="J294" s="3" t="s">
        <v>80</v>
      </c>
      <c r="K294" s="3" t="s">
        <v>1010</v>
      </c>
      <c r="L294" s="3" t="s">
        <v>32</v>
      </c>
      <c r="M294" s="3"/>
      <c r="N294" s="8" t="str">
        <f>HYPERLINK("http://slimages.macys.com/is/image/MCY/9211705 ")</f>
        <v xml:space="preserve">http://slimages.macys.com/is/image/MCY/9211705 </v>
      </c>
    </row>
    <row r="295" spans="1:14" ht="60" x14ac:dyDescent="0.25">
      <c r="A295" s="7" t="s">
        <v>1007</v>
      </c>
      <c r="B295" s="3" t="s">
        <v>1008</v>
      </c>
      <c r="C295" s="4">
        <v>1</v>
      </c>
      <c r="D295" s="5">
        <v>12.79</v>
      </c>
      <c r="E295" s="5">
        <v>30.99</v>
      </c>
      <c r="F295" s="4" t="s">
        <v>1009</v>
      </c>
      <c r="G295" s="3" t="s">
        <v>114</v>
      </c>
      <c r="H295" s="7"/>
      <c r="I295" s="5">
        <v>7.4608333333333334</v>
      </c>
      <c r="J295" s="3" t="s">
        <v>80</v>
      </c>
      <c r="K295" s="3" t="s">
        <v>1010</v>
      </c>
      <c r="L295" s="3" t="s">
        <v>32</v>
      </c>
      <c r="M295" s="3"/>
      <c r="N295" s="8" t="str">
        <f>HYPERLINK("http://slimages.macys.com/is/image/MCY/9211705 ")</f>
        <v xml:space="preserve">http://slimages.macys.com/is/image/MCY/9211705 </v>
      </c>
    </row>
    <row r="296" spans="1:14" ht="48" x14ac:dyDescent="0.25">
      <c r="A296" s="7" t="s">
        <v>1011</v>
      </c>
      <c r="B296" s="3" t="s">
        <v>1012</v>
      </c>
      <c r="C296" s="4">
        <v>1</v>
      </c>
      <c r="D296" s="5">
        <v>12</v>
      </c>
      <c r="E296" s="5">
        <v>26.99</v>
      </c>
      <c r="F296" s="4">
        <v>887273</v>
      </c>
      <c r="G296" s="3" t="s">
        <v>1013</v>
      </c>
      <c r="H296" s="7"/>
      <c r="I296" s="5">
        <v>7.4000000000000012</v>
      </c>
      <c r="J296" s="3" t="s">
        <v>380</v>
      </c>
      <c r="K296" s="3" t="s">
        <v>1014</v>
      </c>
      <c r="L296" s="3" t="s">
        <v>32</v>
      </c>
      <c r="M296" s="3" t="s">
        <v>208</v>
      </c>
      <c r="N296" s="8" t="str">
        <f>HYPERLINK("http://slimages.macys.com/is/image/MCY/15254648 ")</f>
        <v xml:space="preserve">http://slimages.macys.com/is/image/MCY/15254648 </v>
      </c>
    </row>
    <row r="297" spans="1:14" ht="48" x14ac:dyDescent="0.25">
      <c r="A297" s="7" t="s">
        <v>1015</v>
      </c>
      <c r="B297" s="3" t="s">
        <v>1016</v>
      </c>
      <c r="C297" s="4">
        <v>1</v>
      </c>
      <c r="D297" s="5">
        <v>14.47</v>
      </c>
      <c r="E297" s="5">
        <v>39.99</v>
      </c>
      <c r="F297" s="4">
        <v>100109275</v>
      </c>
      <c r="G297" s="3" t="s">
        <v>53</v>
      </c>
      <c r="H297" s="7"/>
      <c r="I297" s="5">
        <v>7.2350000000000003</v>
      </c>
      <c r="J297" s="3" t="s">
        <v>543</v>
      </c>
      <c r="K297" s="3" t="s">
        <v>907</v>
      </c>
      <c r="L297" s="3"/>
      <c r="M297" s="3"/>
      <c r="N297" s="8" t="str">
        <f>HYPERLINK("http://slimages.macys.com/is/image/MCY/17902262 ")</f>
        <v xml:space="preserve">http://slimages.macys.com/is/image/MCY/17902262 </v>
      </c>
    </row>
    <row r="298" spans="1:14" ht="48" x14ac:dyDescent="0.25">
      <c r="A298" s="7" t="s">
        <v>1017</v>
      </c>
      <c r="B298" s="3" t="s">
        <v>1018</v>
      </c>
      <c r="C298" s="4">
        <v>2</v>
      </c>
      <c r="D298" s="5">
        <v>12.4</v>
      </c>
      <c r="E298" s="5">
        <v>27.99</v>
      </c>
      <c r="F298" s="4" t="s">
        <v>1019</v>
      </c>
      <c r="G298" s="3" t="s">
        <v>114</v>
      </c>
      <c r="H298" s="7"/>
      <c r="I298" s="5">
        <v>7.2333333333333334</v>
      </c>
      <c r="J298" s="3" t="s">
        <v>80</v>
      </c>
      <c r="K298" s="3" t="s">
        <v>48</v>
      </c>
      <c r="L298" s="3" t="s">
        <v>32</v>
      </c>
      <c r="M298" s="3"/>
      <c r="N298" s="8" t="str">
        <f>HYPERLINK("http://slimages.macys.com/is/image/MCY/10010883 ")</f>
        <v xml:space="preserve">http://slimages.macys.com/is/image/MCY/10010883 </v>
      </c>
    </row>
    <row r="299" spans="1:14" ht="48" x14ac:dyDescent="0.25">
      <c r="A299" s="7" t="s">
        <v>1020</v>
      </c>
      <c r="B299" s="3" t="s">
        <v>1021</v>
      </c>
      <c r="C299" s="4">
        <v>1</v>
      </c>
      <c r="D299" s="5">
        <v>14.41</v>
      </c>
      <c r="E299" s="5">
        <v>69.989999999999995</v>
      </c>
      <c r="F299" s="4" t="s">
        <v>1022</v>
      </c>
      <c r="G299" s="3" t="s">
        <v>64</v>
      </c>
      <c r="H299" s="7"/>
      <c r="I299" s="5">
        <v>7.205000000000001</v>
      </c>
      <c r="J299" s="3" t="s">
        <v>65</v>
      </c>
      <c r="K299" s="3" t="s">
        <v>602</v>
      </c>
      <c r="L299" s="3"/>
      <c r="M299" s="3"/>
      <c r="N299" s="8" t="str">
        <f>HYPERLINK("http://slimages.macys.com/is/image/MCY/16688472 ")</f>
        <v xml:space="preserve">http://slimages.macys.com/is/image/MCY/16688472 </v>
      </c>
    </row>
    <row r="300" spans="1:14" ht="48" x14ac:dyDescent="0.25">
      <c r="A300" s="7" t="s">
        <v>1020</v>
      </c>
      <c r="B300" s="3" t="s">
        <v>1021</v>
      </c>
      <c r="C300" s="4">
        <v>1</v>
      </c>
      <c r="D300" s="5">
        <v>14.41</v>
      </c>
      <c r="E300" s="5">
        <v>69.989999999999995</v>
      </c>
      <c r="F300" s="4" t="s">
        <v>1022</v>
      </c>
      <c r="G300" s="3" t="s">
        <v>64</v>
      </c>
      <c r="H300" s="7"/>
      <c r="I300" s="5">
        <v>7.205000000000001</v>
      </c>
      <c r="J300" s="3" t="s">
        <v>65</v>
      </c>
      <c r="K300" s="3" t="s">
        <v>602</v>
      </c>
      <c r="L300" s="3"/>
      <c r="M300" s="3"/>
      <c r="N300" s="8" t="str">
        <f>HYPERLINK("http://slimages.macys.com/is/image/MCY/16688472 ")</f>
        <v xml:space="preserve">http://slimages.macys.com/is/image/MCY/16688472 </v>
      </c>
    </row>
    <row r="301" spans="1:14" ht="48" x14ac:dyDescent="0.25">
      <c r="A301" s="7" t="s">
        <v>1020</v>
      </c>
      <c r="B301" s="3" t="s">
        <v>1021</v>
      </c>
      <c r="C301" s="4">
        <v>1</v>
      </c>
      <c r="D301" s="5">
        <v>14.41</v>
      </c>
      <c r="E301" s="5">
        <v>69.989999999999995</v>
      </c>
      <c r="F301" s="4" t="s">
        <v>1022</v>
      </c>
      <c r="G301" s="3" t="s">
        <v>64</v>
      </c>
      <c r="H301" s="7"/>
      <c r="I301" s="5">
        <v>7.205000000000001</v>
      </c>
      <c r="J301" s="3" t="s">
        <v>65</v>
      </c>
      <c r="K301" s="3" t="s">
        <v>602</v>
      </c>
      <c r="L301" s="3"/>
      <c r="M301" s="3"/>
      <c r="N301" s="8" t="str">
        <f>HYPERLINK("http://slimages.macys.com/is/image/MCY/16688472 ")</f>
        <v xml:space="preserve">http://slimages.macys.com/is/image/MCY/16688472 </v>
      </c>
    </row>
    <row r="302" spans="1:14" ht="48" x14ac:dyDescent="0.25">
      <c r="A302" s="7" t="s">
        <v>1023</v>
      </c>
      <c r="B302" s="3" t="s">
        <v>1024</v>
      </c>
      <c r="C302" s="4">
        <v>1</v>
      </c>
      <c r="D302" s="5">
        <v>12.34</v>
      </c>
      <c r="E302" s="5">
        <v>24.99</v>
      </c>
      <c r="F302" s="4" t="s">
        <v>1025</v>
      </c>
      <c r="G302" s="3" t="s">
        <v>36</v>
      </c>
      <c r="H302" s="7"/>
      <c r="I302" s="5">
        <v>7.1983333333333333</v>
      </c>
      <c r="J302" s="3" t="s">
        <v>80</v>
      </c>
      <c r="K302" s="3" t="s">
        <v>48</v>
      </c>
      <c r="L302" s="3" t="s">
        <v>32</v>
      </c>
      <c r="M302" s="3"/>
      <c r="N302" s="8" t="str">
        <f>HYPERLINK("http://slimages.macys.com/is/image/MCY/9961874 ")</f>
        <v xml:space="preserve">http://slimages.macys.com/is/image/MCY/9961874 </v>
      </c>
    </row>
    <row r="303" spans="1:14" ht="60" x14ac:dyDescent="0.25">
      <c r="A303" s="7" t="s">
        <v>1026</v>
      </c>
      <c r="B303" s="3" t="s">
        <v>1027</v>
      </c>
      <c r="C303" s="4">
        <v>1</v>
      </c>
      <c r="D303" s="5">
        <v>14.32</v>
      </c>
      <c r="E303" s="5">
        <v>59.99</v>
      </c>
      <c r="F303" s="4" t="s">
        <v>1028</v>
      </c>
      <c r="G303" s="3" t="s">
        <v>114</v>
      </c>
      <c r="H303" s="7"/>
      <c r="I303" s="5">
        <v>7.160000000000001</v>
      </c>
      <c r="J303" s="3" t="s">
        <v>100</v>
      </c>
      <c r="K303" s="3" t="s">
        <v>101</v>
      </c>
      <c r="L303" s="3"/>
      <c r="M303" s="3"/>
      <c r="N303" s="8" t="str">
        <f>HYPERLINK("http://slimages.macys.com/is/image/MCY/16633321 ")</f>
        <v xml:space="preserve">http://slimages.macys.com/is/image/MCY/16633321 </v>
      </c>
    </row>
    <row r="304" spans="1:14" ht="60" x14ac:dyDescent="0.25">
      <c r="A304" s="7" t="s">
        <v>1029</v>
      </c>
      <c r="B304" s="3" t="s">
        <v>1030</v>
      </c>
      <c r="C304" s="4">
        <v>1</v>
      </c>
      <c r="D304" s="5">
        <v>14.32</v>
      </c>
      <c r="E304" s="5">
        <v>59.99</v>
      </c>
      <c r="F304" s="4" t="s">
        <v>1031</v>
      </c>
      <c r="G304" s="3" t="s">
        <v>114</v>
      </c>
      <c r="H304" s="7"/>
      <c r="I304" s="5">
        <v>7.160000000000001</v>
      </c>
      <c r="J304" s="3" t="s">
        <v>100</v>
      </c>
      <c r="K304" s="3" t="s">
        <v>101</v>
      </c>
      <c r="L304" s="3"/>
      <c r="M304" s="3"/>
      <c r="N304" s="8" t="str">
        <f>HYPERLINK("http://slimages.macys.com/is/image/MCY/16633322 ")</f>
        <v xml:space="preserve">http://slimages.macys.com/is/image/MCY/16633322 </v>
      </c>
    </row>
    <row r="305" spans="1:14" ht="60" x14ac:dyDescent="0.25">
      <c r="A305" s="7" t="s">
        <v>1032</v>
      </c>
      <c r="B305" s="3" t="s">
        <v>1033</v>
      </c>
      <c r="C305" s="4">
        <v>1</v>
      </c>
      <c r="D305" s="5">
        <v>14.23</v>
      </c>
      <c r="E305" s="5">
        <v>38.99</v>
      </c>
      <c r="F305" s="4" t="s">
        <v>1034</v>
      </c>
      <c r="G305" s="3" t="s">
        <v>109</v>
      </c>
      <c r="H305" s="7"/>
      <c r="I305" s="5">
        <v>7.1150000000000002</v>
      </c>
      <c r="J305" s="3" t="s">
        <v>47</v>
      </c>
      <c r="K305" s="3" t="s">
        <v>355</v>
      </c>
      <c r="L305" s="3" t="s">
        <v>32</v>
      </c>
      <c r="M305" s="3" t="s">
        <v>928</v>
      </c>
      <c r="N305" s="8" t="str">
        <f>HYPERLINK("http://slimages.macys.com/is/image/MCY/10005660 ")</f>
        <v xml:space="preserve">http://slimages.macys.com/is/image/MCY/10005660 </v>
      </c>
    </row>
    <row r="306" spans="1:14" ht="60" x14ac:dyDescent="0.25">
      <c r="A306" s="7" t="s">
        <v>1035</v>
      </c>
      <c r="B306" s="3" t="s">
        <v>1036</v>
      </c>
      <c r="C306" s="4">
        <v>1</v>
      </c>
      <c r="D306" s="5">
        <v>14.23</v>
      </c>
      <c r="E306" s="5">
        <v>38.99</v>
      </c>
      <c r="F306" s="4" t="s">
        <v>1037</v>
      </c>
      <c r="G306" s="3" t="s">
        <v>109</v>
      </c>
      <c r="H306" s="7"/>
      <c r="I306" s="5">
        <v>7.1150000000000002</v>
      </c>
      <c r="J306" s="3" t="s">
        <v>47</v>
      </c>
      <c r="K306" s="3" t="s">
        <v>355</v>
      </c>
      <c r="L306" s="3" t="s">
        <v>32</v>
      </c>
      <c r="M306" s="3" t="s">
        <v>928</v>
      </c>
      <c r="N306" s="8" t="str">
        <f>HYPERLINK("http://slimages.macys.com/is/image/MCY/10005660 ")</f>
        <v xml:space="preserve">http://slimages.macys.com/is/image/MCY/10005660 </v>
      </c>
    </row>
    <row r="307" spans="1:14" ht="60" x14ac:dyDescent="0.25">
      <c r="A307" s="7" t="s">
        <v>1038</v>
      </c>
      <c r="B307" s="3" t="s">
        <v>1039</v>
      </c>
      <c r="C307" s="4">
        <v>1</v>
      </c>
      <c r="D307" s="5">
        <v>14.23</v>
      </c>
      <c r="E307" s="5">
        <v>38.99</v>
      </c>
      <c r="F307" s="4" t="s">
        <v>1040</v>
      </c>
      <c r="G307" s="3" t="s">
        <v>109</v>
      </c>
      <c r="H307" s="7"/>
      <c r="I307" s="5">
        <v>7.1150000000000002</v>
      </c>
      <c r="J307" s="3" t="s">
        <v>47</v>
      </c>
      <c r="K307" s="3" t="s">
        <v>355</v>
      </c>
      <c r="L307" s="3" t="s">
        <v>32</v>
      </c>
      <c r="M307" s="3" t="s">
        <v>928</v>
      </c>
      <c r="N307" s="8" t="str">
        <f>HYPERLINK("http://slimages.macys.com/is/image/MCY/10005660 ")</f>
        <v xml:space="preserve">http://slimages.macys.com/is/image/MCY/10005660 </v>
      </c>
    </row>
    <row r="308" spans="1:14" ht="48" x14ac:dyDescent="0.25">
      <c r="A308" s="7" t="s">
        <v>1041</v>
      </c>
      <c r="B308" s="3" t="s">
        <v>1042</v>
      </c>
      <c r="C308" s="4">
        <v>1</v>
      </c>
      <c r="D308" s="5">
        <v>12.05</v>
      </c>
      <c r="E308" s="5">
        <v>43.99</v>
      </c>
      <c r="F308" s="4" t="s">
        <v>1043</v>
      </c>
      <c r="G308" s="3" t="s">
        <v>520</v>
      </c>
      <c r="H308" s="7" t="s">
        <v>285</v>
      </c>
      <c r="I308" s="5">
        <v>7.0291666666666677</v>
      </c>
      <c r="J308" s="3" t="s">
        <v>80</v>
      </c>
      <c r="K308" s="3" t="s">
        <v>629</v>
      </c>
      <c r="L308" s="3" t="s">
        <v>32</v>
      </c>
      <c r="M308" s="3" t="s">
        <v>39</v>
      </c>
      <c r="N308" s="8" t="str">
        <f>HYPERLINK("http://slimages.macys.com/is/image/MCY/11495006 ")</f>
        <v xml:space="preserve">http://slimages.macys.com/is/image/MCY/11495006 </v>
      </c>
    </row>
    <row r="309" spans="1:14" ht="48" x14ac:dyDescent="0.25">
      <c r="A309" s="7" t="s">
        <v>1044</v>
      </c>
      <c r="B309" s="3" t="s">
        <v>1045</v>
      </c>
      <c r="C309" s="4">
        <v>2</v>
      </c>
      <c r="D309" s="5">
        <v>11.36</v>
      </c>
      <c r="E309" s="5">
        <v>24.99</v>
      </c>
      <c r="F309" s="4" t="s">
        <v>1046</v>
      </c>
      <c r="G309" s="3" t="s">
        <v>114</v>
      </c>
      <c r="H309" s="7"/>
      <c r="I309" s="5">
        <v>7.0053333333333336</v>
      </c>
      <c r="J309" s="3" t="s">
        <v>380</v>
      </c>
      <c r="K309" s="3" t="s">
        <v>48</v>
      </c>
      <c r="L309" s="3" t="s">
        <v>32</v>
      </c>
      <c r="M309" s="3"/>
      <c r="N309" s="8" t="str">
        <f>HYPERLINK("http://slimages.macys.com/is/image/MCY/9020950 ")</f>
        <v xml:space="preserve">http://slimages.macys.com/is/image/MCY/9020950 </v>
      </c>
    </row>
    <row r="310" spans="1:14" ht="48" x14ac:dyDescent="0.25">
      <c r="A310" s="7" t="s">
        <v>1047</v>
      </c>
      <c r="B310" s="3" t="s">
        <v>1048</v>
      </c>
      <c r="C310" s="4">
        <v>1</v>
      </c>
      <c r="D310" s="5">
        <v>12</v>
      </c>
      <c r="E310" s="5">
        <v>24.99</v>
      </c>
      <c r="F310" s="4" t="s">
        <v>1049</v>
      </c>
      <c r="G310" s="3" t="s">
        <v>114</v>
      </c>
      <c r="H310" s="7"/>
      <c r="I310" s="5">
        <v>7.0000000000000009</v>
      </c>
      <c r="J310" s="3" t="s">
        <v>80</v>
      </c>
      <c r="K310" s="3" t="s">
        <v>882</v>
      </c>
      <c r="L310" s="3" t="s">
        <v>32</v>
      </c>
      <c r="M310" s="3"/>
      <c r="N310" s="8" t="str">
        <f>HYPERLINK("http://slimages.macys.com/is/image/MCY/16096300 ")</f>
        <v xml:space="preserve">http://slimages.macys.com/is/image/MCY/16096300 </v>
      </c>
    </row>
    <row r="311" spans="1:14" ht="72" x14ac:dyDescent="0.25">
      <c r="A311" s="7" t="s">
        <v>1050</v>
      </c>
      <c r="B311" s="3" t="s">
        <v>1051</v>
      </c>
      <c r="C311" s="4">
        <v>11</v>
      </c>
      <c r="D311" s="5">
        <v>11.3</v>
      </c>
      <c r="E311" s="5">
        <v>25.99</v>
      </c>
      <c r="F311" s="4" t="s">
        <v>1052</v>
      </c>
      <c r="G311" s="3" t="s">
        <v>29</v>
      </c>
      <c r="H311" s="7"/>
      <c r="I311" s="5">
        <v>6.9683333333333337</v>
      </c>
      <c r="J311" s="3" t="s">
        <v>1053</v>
      </c>
      <c r="K311" s="3" t="s">
        <v>1054</v>
      </c>
      <c r="L311" s="3" t="s">
        <v>32</v>
      </c>
      <c r="M311" s="3" t="s">
        <v>1055</v>
      </c>
      <c r="N311" s="8" t="str">
        <f>HYPERLINK("http://slimages.macys.com/is/image/MCY/10259958 ")</f>
        <v xml:space="preserve">http://slimages.macys.com/is/image/MCY/10259958 </v>
      </c>
    </row>
    <row r="312" spans="1:14" ht="96" x14ac:dyDescent="0.25">
      <c r="A312" s="7" t="s">
        <v>1056</v>
      </c>
      <c r="B312" s="3" t="s">
        <v>1057</v>
      </c>
      <c r="C312" s="4">
        <v>2</v>
      </c>
      <c r="D312" s="5">
        <v>11.89</v>
      </c>
      <c r="E312" s="5">
        <v>24.99</v>
      </c>
      <c r="F312" s="4" t="s">
        <v>1058</v>
      </c>
      <c r="G312" s="3" t="s">
        <v>36</v>
      </c>
      <c r="H312" s="7" t="s">
        <v>683</v>
      </c>
      <c r="I312" s="5">
        <v>6.935833333333334</v>
      </c>
      <c r="J312" s="3" t="s">
        <v>80</v>
      </c>
      <c r="K312" s="3" t="s">
        <v>48</v>
      </c>
      <c r="L312" s="3" t="s">
        <v>32</v>
      </c>
      <c r="M312" s="3" t="s">
        <v>1059</v>
      </c>
      <c r="N312" s="8" t="str">
        <f>HYPERLINK("http://slimages.macys.com/is/image/MCY/9602358 ")</f>
        <v xml:space="preserve">http://slimages.macys.com/is/image/MCY/9602358 </v>
      </c>
    </row>
    <row r="313" spans="1:14" ht="96" x14ac:dyDescent="0.25">
      <c r="A313" s="7" t="s">
        <v>1060</v>
      </c>
      <c r="B313" s="3" t="s">
        <v>1061</v>
      </c>
      <c r="C313" s="4">
        <v>2</v>
      </c>
      <c r="D313" s="5">
        <v>11.89</v>
      </c>
      <c r="E313" s="5">
        <v>24.99</v>
      </c>
      <c r="F313" s="4" t="s">
        <v>1062</v>
      </c>
      <c r="G313" s="3" t="s">
        <v>512</v>
      </c>
      <c r="H313" s="7" t="s">
        <v>683</v>
      </c>
      <c r="I313" s="5">
        <v>6.935833333333334</v>
      </c>
      <c r="J313" s="3" t="s">
        <v>80</v>
      </c>
      <c r="K313" s="3" t="s">
        <v>48</v>
      </c>
      <c r="L313" s="3" t="s">
        <v>32</v>
      </c>
      <c r="M313" s="3" t="s">
        <v>1059</v>
      </c>
      <c r="N313" s="8" t="str">
        <f>HYPERLINK("http://slimages.macys.com/is/image/MCY/9602358 ")</f>
        <v xml:space="preserve">http://slimages.macys.com/is/image/MCY/9602358 </v>
      </c>
    </row>
    <row r="314" spans="1:14" ht="48" x14ac:dyDescent="0.25">
      <c r="A314" s="7" t="s">
        <v>1063</v>
      </c>
      <c r="B314" s="3" t="s">
        <v>1064</v>
      </c>
      <c r="C314" s="4">
        <v>1</v>
      </c>
      <c r="D314" s="5">
        <v>11.76</v>
      </c>
      <c r="E314" s="5">
        <v>24.99</v>
      </c>
      <c r="F314" s="4" t="s">
        <v>1065</v>
      </c>
      <c r="G314" s="3" t="s">
        <v>695</v>
      </c>
      <c r="H314" s="7" t="s">
        <v>683</v>
      </c>
      <c r="I314" s="5">
        <v>6.8599999999999994</v>
      </c>
      <c r="J314" s="3" t="s">
        <v>80</v>
      </c>
      <c r="K314" s="3" t="s">
        <v>1066</v>
      </c>
      <c r="L314" s="3"/>
      <c r="M314" s="3"/>
      <c r="N314" s="8" t="str">
        <f>HYPERLINK("http://slimages.macys.com/is/image/MCY/16699829 ")</f>
        <v xml:space="preserve">http://slimages.macys.com/is/image/MCY/16699829 </v>
      </c>
    </row>
    <row r="315" spans="1:14" ht="48" x14ac:dyDescent="0.25">
      <c r="A315" s="7" t="s">
        <v>1067</v>
      </c>
      <c r="B315" s="3" t="s">
        <v>1068</v>
      </c>
      <c r="C315" s="4">
        <v>1</v>
      </c>
      <c r="D315" s="5">
        <v>11.76</v>
      </c>
      <c r="E315" s="5">
        <v>24.99</v>
      </c>
      <c r="F315" s="4" t="s">
        <v>1069</v>
      </c>
      <c r="G315" s="3" t="s">
        <v>695</v>
      </c>
      <c r="H315" s="7" t="s">
        <v>683</v>
      </c>
      <c r="I315" s="5">
        <v>6.8599999999999994</v>
      </c>
      <c r="J315" s="3" t="s">
        <v>80</v>
      </c>
      <c r="K315" s="3" t="s">
        <v>1066</v>
      </c>
      <c r="L315" s="3"/>
      <c r="M315" s="3"/>
      <c r="N315" s="8" t="str">
        <f>HYPERLINK("http://slimages.macys.com/is/image/MCY/16699788 ")</f>
        <v xml:space="preserve">http://slimages.macys.com/is/image/MCY/16699788 </v>
      </c>
    </row>
    <row r="316" spans="1:14" ht="48" x14ac:dyDescent="0.25">
      <c r="A316" s="7" t="s">
        <v>1070</v>
      </c>
      <c r="B316" s="3" t="s">
        <v>1071</v>
      </c>
      <c r="C316" s="4">
        <v>1</v>
      </c>
      <c r="D316" s="5">
        <v>11.76</v>
      </c>
      <c r="E316" s="5">
        <v>24.99</v>
      </c>
      <c r="F316" s="4" t="s">
        <v>1072</v>
      </c>
      <c r="G316" s="3" t="s">
        <v>695</v>
      </c>
      <c r="H316" s="7" t="s">
        <v>1073</v>
      </c>
      <c r="I316" s="5">
        <v>6.8599999999999994</v>
      </c>
      <c r="J316" s="3" t="s">
        <v>80</v>
      </c>
      <c r="K316" s="3" t="s">
        <v>1066</v>
      </c>
      <c r="L316" s="3"/>
      <c r="M316" s="3"/>
      <c r="N316" s="8" t="str">
        <f>HYPERLINK("http://slimages.macys.com/is/image/MCY/16699824 ")</f>
        <v xml:space="preserve">http://slimages.macys.com/is/image/MCY/16699824 </v>
      </c>
    </row>
    <row r="317" spans="1:14" ht="48" x14ac:dyDescent="0.25">
      <c r="A317" s="7" t="s">
        <v>1063</v>
      </c>
      <c r="B317" s="3" t="s">
        <v>1064</v>
      </c>
      <c r="C317" s="4">
        <v>1</v>
      </c>
      <c r="D317" s="5">
        <v>11.76</v>
      </c>
      <c r="E317" s="5">
        <v>24.99</v>
      </c>
      <c r="F317" s="4" t="s">
        <v>1065</v>
      </c>
      <c r="G317" s="3" t="s">
        <v>695</v>
      </c>
      <c r="H317" s="7" t="s">
        <v>683</v>
      </c>
      <c r="I317" s="5">
        <v>6.8599999999999994</v>
      </c>
      <c r="J317" s="3" t="s">
        <v>80</v>
      </c>
      <c r="K317" s="3" t="s">
        <v>1066</v>
      </c>
      <c r="L317" s="3"/>
      <c r="M317" s="3"/>
      <c r="N317" s="8" t="str">
        <f>HYPERLINK("http://slimages.macys.com/is/image/MCY/16699829 ")</f>
        <v xml:space="preserve">http://slimages.macys.com/is/image/MCY/16699829 </v>
      </c>
    </row>
    <row r="318" spans="1:14" ht="48" x14ac:dyDescent="0.25">
      <c r="A318" s="7" t="s">
        <v>1074</v>
      </c>
      <c r="B318" s="3" t="s">
        <v>1075</v>
      </c>
      <c r="C318" s="4">
        <v>1</v>
      </c>
      <c r="D318" s="5">
        <v>11.76</v>
      </c>
      <c r="E318" s="5">
        <v>29.99</v>
      </c>
      <c r="F318" s="4" t="s">
        <v>1076</v>
      </c>
      <c r="G318" s="3" t="s">
        <v>137</v>
      </c>
      <c r="H318" s="7" t="s">
        <v>1077</v>
      </c>
      <c r="I318" s="5">
        <v>6.8599999999999994</v>
      </c>
      <c r="J318" s="3" t="s">
        <v>80</v>
      </c>
      <c r="K318" s="3" t="s">
        <v>1078</v>
      </c>
      <c r="L318" s="3" t="s">
        <v>32</v>
      </c>
      <c r="M318" s="3" t="s">
        <v>188</v>
      </c>
      <c r="N318" s="8" t="str">
        <f>HYPERLINK("http://slimages.macys.com/is/image/MCY/12688596 ")</f>
        <v xml:space="preserve">http://slimages.macys.com/is/image/MCY/12688596 </v>
      </c>
    </row>
    <row r="319" spans="1:14" ht="60" x14ac:dyDescent="0.25">
      <c r="A319" s="7" t="s">
        <v>1079</v>
      </c>
      <c r="B319" s="3" t="s">
        <v>1080</v>
      </c>
      <c r="C319" s="4">
        <v>1</v>
      </c>
      <c r="D319" s="5">
        <v>11.71</v>
      </c>
      <c r="E319" s="5">
        <v>27.99</v>
      </c>
      <c r="F319" s="4" t="s">
        <v>1081</v>
      </c>
      <c r="G319" s="3" t="s">
        <v>520</v>
      </c>
      <c r="H319" s="7"/>
      <c r="I319" s="5">
        <v>6.8308333333333326</v>
      </c>
      <c r="J319" s="3" t="s">
        <v>80</v>
      </c>
      <c r="K319" s="3" t="s">
        <v>1010</v>
      </c>
      <c r="L319" s="3" t="s">
        <v>32</v>
      </c>
      <c r="M319" s="3" t="s">
        <v>208</v>
      </c>
      <c r="N319" s="8" t="str">
        <f>HYPERLINK("http://slimages.macys.com/is/image/MCY/2075000 ")</f>
        <v xml:space="preserve">http://slimages.macys.com/is/image/MCY/2075000 </v>
      </c>
    </row>
    <row r="320" spans="1:14" ht="48" x14ac:dyDescent="0.25">
      <c r="A320" s="7" t="s">
        <v>1082</v>
      </c>
      <c r="B320" s="3" t="s">
        <v>1083</v>
      </c>
      <c r="C320" s="4">
        <v>2</v>
      </c>
      <c r="D320" s="5">
        <v>11.69</v>
      </c>
      <c r="E320" s="5">
        <v>34.99</v>
      </c>
      <c r="F320" s="4" t="s">
        <v>1084</v>
      </c>
      <c r="G320" s="3" t="s">
        <v>114</v>
      </c>
      <c r="H320" s="7"/>
      <c r="I320" s="5">
        <v>6.8191666666666668</v>
      </c>
      <c r="J320" s="3" t="s">
        <v>80</v>
      </c>
      <c r="K320" s="3" t="s">
        <v>688</v>
      </c>
      <c r="L320" s="3" t="s">
        <v>32</v>
      </c>
      <c r="M320" s="3" t="s">
        <v>188</v>
      </c>
      <c r="N320" s="8" t="str">
        <f>HYPERLINK("http://slimages.macys.com/is/image/MCY/11685937 ")</f>
        <v xml:space="preserve">http://slimages.macys.com/is/image/MCY/11685937 </v>
      </c>
    </row>
    <row r="321" spans="1:14" ht="48" x14ac:dyDescent="0.25">
      <c r="A321" s="7" t="s">
        <v>1085</v>
      </c>
      <c r="B321" s="3" t="s">
        <v>1086</v>
      </c>
      <c r="C321" s="4">
        <v>2</v>
      </c>
      <c r="D321" s="5">
        <v>11.68</v>
      </c>
      <c r="E321" s="5">
        <v>26.99</v>
      </c>
      <c r="F321" s="4" t="s">
        <v>1087</v>
      </c>
      <c r="G321" s="3" t="s">
        <v>220</v>
      </c>
      <c r="H321" s="7" t="s">
        <v>1088</v>
      </c>
      <c r="I321" s="5">
        <v>6.8133333333333335</v>
      </c>
      <c r="J321" s="3" t="s">
        <v>80</v>
      </c>
      <c r="K321" s="3" t="s">
        <v>1078</v>
      </c>
      <c r="L321" s="3" t="s">
        <v>32</v>
      </c>
      <c r="M321" s="3" t="s">
        <v>1089</v>
      </c>
      <c r="N321" s="8" t="str">
        <f>HYPERLINK("http://slimages.macys.com/is/image/MCY/1466811 ")</f>
        <v xml:space="preserve">http://slimages.macys.com/is/image/MCY/1466811 </v>
      </c>
    </row>
    <row r="322" spans="1:14" ht="48" x14ac:dyDescent="0.25">
      <c r="A322" s="7" t="s">
        <v>1085</v>
      </c>
      <c r="B322" s="3" t="s">
        <v>1086</v>
      </c>
      <c r="C322" s="4">
        <v>2</v>
      </c>
      <c r="D322" s="5">
        <v>11.68</v>
      </c>
      <c r="E322" s="5">
        <v>26.99</v>
      </c>
      <c r="F322" s="4" t="s">
        <v>1087</v>
      </c>
      <c r="G322" s="3" t="s">
        <v>220</v>
      </c>
      <c r="H322" s="7" t="s">
        <v>1088</v>
      </c>
      <c r="I322" s="5">
        <v>6.8133333333333335</v>
      </c>
      <c r="J322" s="3" t="s">
        <v>80</v>
      </c>
      <c r="K322" s="3" t="s">
        <v>1078</v>
      </c>
      <c r="L322" s="3" t="s">
        <v>32</v>
      </c>
      <c r="M322" s="3" t="s">
        <v>1089</v>
      </c>
      <c r="N322" s="8" t="str">
        <f>HYPERLINK("http://slimages.macys.com/is/image/MCY/1466811 ")</f>
        <v xml:space="preserve">http://slimages.macys.com/is/image/MCY/1466811 </v>
      </c>
    </row>
    <row r="323" spans="1:14" ht="48" x14ac:dyDescent="0.25">
      <c r="A323" s="7" t="s">
        <v>1090</v>
      </c>
      <c r="B323" s="3" t="s">
        <v>1091</v>
      </c>
      <c r="C323" s="4">
        <v>3</v>
      </c>
      <c r="D323" s="5">
        <v>11.66</v>
      </c>
      <c r="E323" s="5">
        <v>27.99</v>
      </c>
      <c r="F323" s="4" t="s">
        <v>1092</v>
      </c>
      <c r="G323" s="3" t="s">
        <v>114</v>
      </c>
      <c r="H323" s="7"/>
      <c r="I323" s="5">
        <v>6.8016666666666676</v>
      </c>
      <c r="J323" s="3" t="s">
        <v>80</v>
      </c>
      <c r="K323" s="3" t="s">
        <v>48</v>
      </c>
      <c r="L323" s="3" t="s">
        <v>32</v>
      </c>
      <c r="M323" s="3" t="s">
        <v>1093</v>
      </c>
      <c r="N323" s="8" t="str">
        <f>HYPERLINK("http://slimages.macys.com/is/image/MCY/9534578 ")</f>
        <v xml:space="preserve">http://slimages.macys.com/is/image/MCY/9534578 </v>
      </c>
    </row>
    <row r="324" spans="1:14" ht="48" x14ac:dyDescent="0.25">
      <c r="A324" s="7" t="s">
        <v>1094</v>
      </c>
      <c r="B324" s="3" t="s">
        <v>1095</v>
      </c>
      <c r="C324" s="4">
        <v>6</v>
      </c>
      <c r="D324" s="5">
        <v>11.66</v>
      </c>
      <c r="E324" s="5">
        <v>27.99</v>
      </c>
      <c r="F324" s="4" t="s">
        <v>1096</v>
      </c>
      <c r="G324" s="3" t="s">
        <v>109</v>
      </c>
      <c r="H324" s="7"/>
      <c r="I324" s="5">
        <v>6.8016666666666676</v>
      </c>
      <c r="J324" s="3" t="s">
        <v>80</v>
      </c>
      <c r="K324" s="3" t="s">
        <v>48</v>
      </c>
      <c r="L324" s="3" t="s">
        <v>32</v>
      </c>
      <c r="M324" s="3" t="s">
        <v>1093</v>
      </c>
      <c r="N324" s="8" t="str">
        <f>HYPERLINK("http://slimages.macys.com/is/image/MCY/9534578 ")</f>
        <v xml:space="preserve">http://slimages.macys.com/is/image/MCY/9534578 </v>
      </c>
    </row>
    <row r="325" spans="1:14" ht="48" x14ac:dyDescent="0.25">
      <c r="A325" s="7" t="s">
        <v>1097</v>
      </c>
      <c r="B325" s="3" t="s">
        <v>1098</v>
      </c>
      <c r="C325" s="4">
        <v>1</v>
      </c>
      <c r="D325" s="5">
        <v>11.6</v>
      </c>
      <c r="E325" s="5">
        <v>24.99</v>
      </c>
      <c r="F325" s="4" t="s">
        <v>1099</v>
      </c>
      <c r="G325" s="3" t="s">
        <v>180</v>
      </c>
      <c r="H325" s="7"/>
      <c r="I325" s="5">
        <v>6.7666666666666666</v>
      </c>
      <c r="J325" s="3" t="s">
        <v>80</v>
      </c>
      <c r="K325" s="3" t="s">
        <v>882</v>
      </c>
      <c r="L325" s="3" t="s">
        <v>32</v>
      </c>
      <c r="M325" s="3" t="s">
        <v>1100</v>
      </c>
      <c r="N325" s="8" t="str">
        <f>HYPERLINK("http://slimages.macys.com/is/image/MCY/11190398 ")</f>
        <v xml:space="preserve">http://slimages.macys.com/is/image/MCY/11190398 </v>
      </c>
    </row>
    <row r="326" spans="1:14" ht="60" x14ac:dyDescent="0.25">
      <c r="A326" s="7" t="s">
        <v>1101</v>
      </c>
      <c r="B326" s="3" t="s">
        <v>1102</v>
      </c>
      <c r="C326" s="4">
        <v>1</v>
      </c>
      <c r="D326" s="5">
        <v>11.45</v>
      </c>
      <c r="E326" s="5">
        <v>31.99</v>
      </c>
      <c r="F326" s="4">
        <v>64100</v>
      </c>
      <c r="G326" s="3" t="s">
        <v>114</v>
      </c>
      <c r="H326" s="7" t="s">
        <v>115</v>
      </c>
      <c r="I326" s="5">
        <v>6.6791666666666671</v>
      </c>
      <c r="J326" s="3" t="s">
        <v>116</v>
      </c>
      <c r="K326" s="3" t="s">
        <v>1103</v>
      </c>
      <c r="L326" s="3" t="s">
        <v>32</v>
      </c>
      <c r="M326" s="3" t="s">
        <v>1104</v>
      </c>
      <c r="N326" s="8" t="str">
        <f>HYPERLINK("http://slimages.macys.com/is/image/MCY/13768152 ")</f>
        <v xml:space="preserve">http://slimages.macys.com/is/image/MCY/13768152 </v>
      </c>
    </row>
    <row r="327" spans="1:14" ht="48" x14ac:dyDescent="0.25">
      <c r="A327" s="7" t="s">
        <v>1105</v>
      </c>
      <c r="B327" s="3" t="s">
        <v>1106</v>
      </c>
      <c r="C327" s="4">
        <v>5</v>
      </c>
      <c r="D327" s="5">
        <v>10.81</v>
      </c>
      <c r="E327" s="5">
        <v>14.99</v>
      </c>
      <c r="F327" s="4" t="s">
        <v>1107</v>
      </c>
      <c r="G327" s="3" t="s">
        <v>29</v>
      </c>
      <c r="H327" s="7" t="s">
        <v>1108</v>
      </c>
      <c r="I327" s="5">
        <v>6.6661666666666664</v>
      </c>
      <c r="J327" s="3" t="s">
        <v>380</v>
      </c>
      <c r="K327" s="3" t="s">
        <v>1109</v>
      </c>
      <c r="L327" s="3" t="s">
        <v>118</v>
      </c>
      <c r="M327" s="3" t="s">
        <v>1110</v>
      </c>
      <c r="N327" s="8" t="str">
        <f>HYPERLINK("http://slimages.macys.com/is/image/MCY/15633945 ")</f>
        <v xml:space="preserve">http://slimages.macys.com/is/image/MCY/15633945 </v>
      </c>
    </row>
    <row r="328" spans="1:14" ht="48" x14ac:dyDescent="0.25">
      <c r="A328" s="7" t="s">
        <v>1111</v>
      </c>
      <c r="B328" s="3" t="s">
        <v>1112</v>
      </c>
      <c r="C328" s="4">
        <v>1</v>
      </c>
      <c r="D328" s="5">
        <v>10.62</v>
      </c>
      <c r="E328" s="5">
        <v>29.99</v>
      </c>
      <c r="F328" s="4">
        <v>73529</v>
      </c>
      <c r="G328" s="3"/>
      <c r="H328" s="7"/>
      <c r="I328" s="5">
        <v>6.5489999999999995</v>
      </c>
      <c r="J328" s="3" t="s">
        <v>380</v>
      </c>
      <c r="K328" s="3" t="s">
        <v>1113</v>
      </c>
      <c r="L328" s="3" t="s">
        <v>32</v>
      </c>
      <c r="M328" s="3" t="s">
        <v>1114</v>
      </c>
      <c r="N328" s="8" t="str">
        <f>HYPERLINK("http://slimages.macys.com/is/image/MCY/3085430 ")</f>
        <v xml:space="preserve">http://slimages.macys.com/is/image/MCY/3085430 </v>
      </c>
    </row>
    <row r="329" spans="1:14" ht="48" x14ac:dyDescent="0.25">
      <c r="A329" s="7" t="s">
        <v>1115</v>
      </c>
      <c r="B329" s="3" t="s">
        <v>1116</v>
      </c>
      <c r="C329" s="4">
        <v>1</v>
      </c>
      <c r="D329" s="5">
        <v>13.07</v>
      </c>
      <c r="E329" s="5">
        <v>39.99</v>
      </c>
      <c r="F329" s="4">
        <v>10002441500</v>
      </c>
      <c r="G329" s="3" t="s">
        <v>29</v>
      </c>
      <c r="H329" s="7"/>
      <c r="I329" s="5">
        <v>6.5350000000000001</v>
      </c>
      <c r="J329" s="3" t="s">
        <v>320</v>
      </c>
      <c r="K329" s="3" t="s">
        <v>491</v>
      </c>
      <c r="L329" s="3" t="s">
        <v>32</v>
      </c>
      <c r="M329" s="3"/>
      <c r="N329" s="8" t="str">
        <f>HYPERLINK("http://slimages.macys.com/is/image/MCY/10414613 ")</f>
        <v xml:space="preserve">http://slimages.macys.com/is/image/MCY/10414613 </v>
      </c>
    </row>
    <row r="330" spans="1:14" ht="120" x14ac:dyDescent="0.25">
      <c r="A330" s="7" t="s">
        <v>1117</v>
      </c>
      <c r="B330" s="3" t="s">
        <v>1118</v>
      </c>
      <c r="C330" s="4">
        <v>4</v>
      </c>
      <c r="D330" s="5">
        <v>11.16</v>
      </c>
      <c r="E330" s="5">
        <v>27.99</v>
      </c>
      <c r="F330" s="4" t="s">
        <v>1119</v>
      </c>
      <c r="G330" s="3" t="s">
        <v>410</v>
      </c>
      <c r="H330" s="7"/>
      <c r="I330" s="5">
        <v>6.5100000000000007</v>
      </c>
      <c r="J330" s="3" t="s">
        <v>80</v>
      </c>
      <c r="K330" s="3" t="s">
        <v>48</v>
      </c>
      <c r="L330" s="3" t="s">
        <v>32</v>
      </c>
      <c r="M330" s="3" t="s">
        <v>1120</v>
      </c>
      <c r="N330" s="8" t="str">
        <f>HYPERLINK("http://slimages.macys.com/is/image/MCY/10112117 ")</f>
        <v xml:space="preserve">http://slimages.macys.com/is/image/MCY/10112117 </v>
      </c>
    </row>
    <row r="331" spans="1:14" ht="84" x14ac:dyDescent="0.25">
      <c r="A331" s="7" t="s">
        <v>1121</v>
      </c>
      <c r="B331" s="3" t="s">
        <v>1122</v>
      </c>
      <c r="C331" s="4">
        <v>2</v>
      </c>
      <c r="D331" s="5">
        <v>11.16</v>
      </c>
      <c r="E331" s="5">
        <v>19.989999999999998</v>
      </c>
      <c r="F331" s="4" t="s">
        <v>1123</v>
      </c>
      <c r="G331" s="3" t="s">
        <v>59</v>
      </c>
      <c r="H331" s="7" t="s">
        <v>683</v>
      </c>
      <c r="I331" s="5">
        <v>6.5100000000000007</v>
      </c>
      <c r="J331" s="3" t="s">
        <v>80</v>
      </c>
      <c r="K331" s="3" t="s">
        <v>48</v>
      </c>
      <c r="L331" s="3" t="s">
        <v>32</v>
      </c>
      <c r="M331" s="3" t="s">
        <v>1124</v>
      </c>
      <c r="N331" s="8" t="str">
        <f>HYPERLINK("http://slimages.macys.com/is/image/MCY/10015341 ")</f>
        <v xml:space="preserve">http://slimages.macys.com/is/image/MCY/10015341 </v>
      </c>
    </row>
    <row r="332" spans="1:14" ht="48" x14ac:dyDescent="0.25">
      <c r="A332" s="7" t="s">
        <v>1094</v>
      </c>
      <c r="B332" s="3" t="s">
        <v>1095</v>
      </c>
      <c r="C332" s="4">
        <v>11</v>
      </c>
      <c r="D332" s="5">
        <v>11.16</v>
      </c>
      <c r="E332" s="5">
        <v>27.99</v>
      </c>
      <c r="F332" s="4" t="s">
        <v>1096</v>
      </c>
      <c r="G332" s="3" t="s">
        <v>109</v>
      </c>
      <c r="H332" s="7"/>
      <c r="I332" s="5">
        <v>6.5100000000000007</v>
      </c>
      <c r="J332" s="3" t="s">
        <v>80</v>
      </c>
      <c r="K332" s="3" t="s">
        <v>48</v>
      </c>
      <c r="L332" s="3" t="s">
        <v>32</v>
      </c>
      <c r="M332" s="3" t="s">
        <v>1093</v>
      </c>
      <c r="N332" s="8" t="str">
        <f>HYPERLINK("http://slimages.macys.com/is/image/MCY/9534578 ")</f>
        <v xml:space="preserve">http://slimages.macys.com/is/image/MCY/9534578 </v>
      </c>
    </row>
    <row r="333" spans="1:14" ht="216" x14ac:dyDescent="0.25">
      <c r="A333" s="7" t="s">
        <v>1125</v>
      </c>
      <c r="B333" s="3" t="s">
        <v>1126</v>
      </c>
      <c r="C333" s="4">
        <v>2</v>
      </c>
      <c r="D333" s="5">
        <v>11.16</v>
      </c>
      <c r="E333" s="5">
        <v>24.99</v>
      </c>
      <c r="F333" s="4" t="s">
        <v>1127</v>
      </c>
      <c r="G333" s="3" t="s">
        <v>53</v>
      </c>
      <c r="H333" s="7" t="s">
        <v>683</v>
      </c>
      <c r="I333" s="5">
        <v>6.5100000000000007</v>
      </c>
      <c r="J333" s="3" t="s">
        <v>80</v>
      </c>
      <c r="K333" s="3" t="s">
        <v>48</v>
      </c>
      <c r="L333" s="3" t="s">
        <v>32</v>
      </c>
      <c r="M333" s="3" t="s">
        <v>1128</v>
      </c>
      <c r="N333" s="8" t="str">
        <f>HYPERLINK("http://slimages.macys.com/is/image/MCY/9602403 ")</f>
        <v xml:space="preserve">http://slimages.macys.com/is/image/MCY/9602403 </v>
      </c>
    </row>
    <row r="334" spans="1:14" ht="48" x14ac:dyDescent="0.25">
      <c r="A334" s="7" t="s">
        <v>1129</v>
      </c>
      <c r="B334" s="3" t="s">
        <v>1130</v>
      </c>
      <c r="C334" s="4">
        <v>4</v>
      </c>
      <c r="D334" s="5">
        <v>11.16</v>
      </c>
      <c r="E334" s="5">
        <v>23.99</v>
      </c>
      <c r="F334" s="4" t="s">
        <v>1131</v>
      </c>
      <c r="G334" s="3" t="s">
        <v>695</v>
      </c>
      <c r="H334" s="7"/>
      <c r="I334" s="5">
        <v>6.5100000000000007</v>
      </c>
      <c r="J334" s="3" t="s">
        <v>80</v>
      </c>
      <c r="K334" s="3" t="s">
        <v>882</v>
      </c>
      <c r="L334" s="3"/>
      <c r="M334" s="3"/>
      <c r="N334" s="8" t="str">
        <f>HYPERLINK("http://slimages.macys.com/is/image/MCY/17566490 ")</f>
        <v xml:space="preserve">http://slimages.macys.com/is/image/MCY/17566490 </v>
      </c>
    </row>
    <row r="335" spans="1:14" ht="48" x14ac:dyDescent="0.25">
      <c r="A335" s="7" t="s">
        <v>949</v>
      </c>
      <c r="B335" s="3" t="s">
        <v>950</v>
      </c>
      <c r="C335" s="4">
        <v>2</v>
      </c>
      <c r="D335" s="5">
        <v>11.16</v>
      </c>
      <c r="E335" s="5">
        <v>24.99</v>
      </c>
      <c r="F335" s="4" t="s">
        <v>951</v>
      </c>
      <c r="G335" s="3" t="s">
        <v>29</v>
      </c>
      <c r="H335" s="7"/>
      <c r="I335" s="5">
        <v>6.5100000000000007</v>
      </c>
      <c r="J335" s="3" t="s">
        <v>80</v>
      </c>
      <c r="K335" s="3" t="s">
        <v>48</v>
      </c>
      <c r="L335" s="3" t="s">
        <v>32</v>
      </c>
      <c r="M335" s="3"/>
      <c r="N335" s="8" t="str">
        <f>HYPERLINK("http://slimages.macys.com/is/image/MCY/10010840 ")</f>
        <v xml:space="preserve">http://slimages.macys.com/is/image/MCY/10010840 </v>
      </c>
    </row>
    <row r="336" spans="1:14" ht="48" x14ac:dyDescent="0.25">
      <c r="A336" s="7" t="s">
        <v>1132</v>
      </c>
      <c r="B336" s="3" t="s">
        <v>1133</v>
      </c>
      <c r="C336" s="4">
        <v>1</v>
      </c>
      <c r="D336" s="5">
        <v>11.15</v>
      </c>
      <c r="E336" s="5">
        <v>24.99</v>
      </c>
      <c r="F336" s="4" t="s">
        <v>1134</v>
      </c>
      <c r="G336" s="3"/>
      <c r="H336" s="7"/>
      <c r="I336" s="5">
        <v>6.5041666666666664</v>
      </c>
      <c r="J336" s="3" t="s">
        <v>80</v>
      </c>
      <c r="K336" s="3" t="s">
        <v>48</v>
      </c>
      <c r="L336" s="3" t="s">
        <v>32</v>
      </c>
      <c r="M336" s="3"/>
      <c r="N336" s="8" t="str">
        <f>HYPERLINK("http://slimages.macys.com/is/image/MCY/10009881 ")</f>
        <v xml:space="preserve">http://slimages.macys.com/is/image/MCY/10009881 </v>
      </c>
    </row>
    <row r="337" spans="1:14" ht="48" x14ac:dyDescent="0.25">
      <c r="A337" s="7" t="s">
        <v>1135</v>
      </c>
      <c r="B337" s="3" t="s">
        <v>1136</v>
      </c>
      <c r="C337" s="4">
        <v>1</v>
      </c>
      <c r="D337" s="5">
        <v>13</v>
      </c>
      <c r="E337" s="5">
        <v>38.99</v>
      </c>
      <c r="F337" s="4" t="s">
        <v>1137</v>
      </c>
      <c r="G337" s="3" t="s">
        <v>336</v>
      </c>
      <c r="H337" s="7"/>
      <c r="I337" s="5">
        <v>6.5</v>
      </c>
      <c r="J337" s="3" t="s">
        <v>47</v>
      </c>
      <c r="K337" s="3" t="s">
        <v>946</v>
      </c>
      <c r="L337" s="3" t="s">
        <v>32</v>
      </c>
      <c r="M337" s="3" t="s">
        <v>76</v>
      </c>
      <c r="N337" s="8" t="str">
        <f>HYPERLINK("http://slimages.macys.com/is/image/MCY/11629696 ")</f>
        <v xml:space="preserve">http://slimages.macys.com/is/image/MCY/11629696 </v>
      </c>
    </row>
    <row r="338" spans="1:14" ht="48" x14ac:dyDescent="0.25">
      <c r="A338" s="7" t="s">
        <v>1138</v>
      </c>
      <c r="B338" s="3" t="s">
        <v>1139</v>
      </c>
      <c r="C338" s="4">
        <v>1</v>
      </c>
      <c r="D338" s="5">
        <v>12.96</v>
      </c>
      <c r="E338" s="5">
        <v>39.99</v>
      </c>
      <c r="F338" s="4" t="s">
        <v>1140</v>
      </c>
      <c r="G338" s="3" t="s">
        <v>36</v>
      </c>
      <c r="H338" s="7"/>
      <c r="I338" s="5">
        <v>6.48</v>
      </c>
      <c r="J338" s="3" t="s">
        <v>419</v>
      </c>
      <c r="K338" s="3" t="s">
        <v>420</v>
      </c>
      <c r="L338" s="3" t="s">
        <v>32</v>
      </c>
      <c r="M338" s="3"/>
      <c r="N338" s="8" t="str">
        <f>HYPERLINK("http://slimages.macys.com/is/image/MCY/8432521 ")</f>
        <v xml:space="preserve">http://slimages.macys.com/is/image/MCY/8432521 </v>
      </c>
    </row>
    <row r="339" spans="1:14" ht="60" x14ac:dyDescent="0.25">
      <c r="A339" s="7" t="s">
        <v>1141</v>
      </c>
      <c r="B339" s="3" t="s">
        <v>1142</v>
      </c>
      <c r="C339" s="4">
        <v>1</v>
      </c>
      <c r="D339" s="5">
        <v>12.75</v>
      </c>
      <c r="E339" s="5">
        <v>29.99</v>
      </c>
      <c r="F339" s="4" t="s">
        <v>1143</v>
      </c>
      <c r="G339" s="3" t="s">
        <v>29</v>
      </c>
      <c r="H339" s="7"/>
      <c r="I339" s="5">
        <v>6.3750000000000009</v>
      </c>
      <c r="J339" s="3" t="s">
        <v>30</v>
      </c>
      <c r="K339" s="3" t="s">
        <v>326</v>
      </c>
      <c r="L339" s="3" t="s">
        <v>32</v>
      </c>
      <c r="M339" s="3" t="s">
        <v>328</v>
      </c>
      <c r="N339" s="8" t="str">
        <f>HYPERLINK("http://slimages.macys.com/is/image/MCY/9893979 ")</f>
        <v xml:space="preserve">http://slimages.macys.com/is/image/MCY/9893979 </v>
      </c>
    </row>
    <row r="340" spans="1:14" ht="48" x14ac:dyDescent="0.25">
      <c r="A340" s="7" t="s">
        <v>1144</v>
      </c>
      <c r="B340" s="3" t="s">
        <v>1145</v>
      </c>
      <c r="C340" s="4">
        <v>1</v>
      </c>
      <c r="D340" s="5">
        <v>12.75</v>
      </c>
      <c r="E340" s="5">
        <v>29.99</v>
      </c>
      <c r="F340" s="4" t="s">
        <v>1146</v>
      </c>
      <c r="G340" s="3" t="s">
        <v>114</v>
      </c>
      <c r="H340" s="7"/>
      <c r="I340" s="5">
        <v>6.3750000000000009</v>
      </c>
      <c r="J340" s="3" t="s">
        <v>256</v>
      </c>
      <c r="K340" s="3" t="s">
        <v>257</v>
      </c>
      <c r="L340" s="3" t="s">
        <v>32</v>
      </c>
      <c r="M340" s="3"/>
      <c r="N340" s="8" t="str">
        <f>HYPERLINK("http://slimages.macys.com/is/image/MCY/8687975 ")</f>
        <v xml:space="preserve">http://slimages.macys.com/is/image/MCY/8687975 </v>
      </c>
    </row>
    <row r="341" spans="1:14" ht="48" x14ac:dyDescent="0.25">
      <c r="A341" s="7" t="s">
        <v>1147</v>
      </c>
      <c r="B341" s="3" t="s">
        <v>1148</v>
      </c>
      <c r="C341" s="4">
        <v>2</v>
      </c>
      <c r="D341" s="5">
        <v>10.31</v>
      </c>
      <c r="E341" s="5">
        <v>29.99</v>
      </c>
      <c r="F341" s="4" t="s">
        <v>1149</v>
      </c>
      <c r="G341" s="3" t="s">
        <v>319</v>
      </c>
      <c r="H341" s="7" t="s">
        <v>1150</v>
      </c>
      <c r="I341" s="5">
        <v>6.3578333333333337</v>
      </c>
      <c r="J341" s="3" t="s">
        <v>802</v>
      </c>
      <c r="K341" s="3" t="s">
        <v>1151</v>
      </c>
      <c r="L341" s="3" t="s">
        <v>32</v>
      </c>
      <c r="M341" s="3" t="s">
        <v>1152</v>
      </c>
      <c r="N341" s="8" t="str">
        <f>HYPERLINK("http://slimages.macys.com/is/image/MCY/2972627 ")</f>
        <v xml:space="preserve">http://slimages.macys.com/is/image/MCY/2972627 </v>
      </c>
    </row>
    <row r="342" spans="1:14" ht="48" x14ac:dyDescent="0.25">
      <c r="A342" s="7" t="s">
        <v>1153</v>
      </c>
      <c r="B342" s="3" t="s">
        <v>1154</v>
      </c>
      <c r="C342" s="4">
        <v>2</v>
      </c>
      <c r="D342" s="5">
        <v>12.62</v>
      </c>
      <c r="E342" s="5">
        <v>39.99</v>
      </c>
      <c r="F342" s="4">
        <v>10004047600</v>
      </c>
      <c r="G342" s="3" t="s">
        <v>29</v>
      </c>
      <c r="H342" s="7" t="s">
        <v>285</v>
      </c>
      <c r="I342" s="5">
        <v>6.3100000000000005</v>
      </c>
      <c r="J342" s="3" t="s">
        <v>320</v>
      </c>
      <c r="K342" s="3" t="s">
        <v>491</v>
      </c>
      <c r="L342" s="3" t="s">
        <v>327</v>
      </c>
      <c r="M342" s="3"/>
      <c r="N342" s="8" t="str">
        <f>HYPERLINK("http://slimages.macys.com/is/image/MCY/11390187 ")</f>
        <v xml:space="preserve">http://slimages.macys.com/is/image/MCY/11390187 </v>
      </c>
    </row>
    <row r="343" spans="1:14" ht="60" x14ac:dyDescent="0.25">
      <c r="A343" s="7" t="s">
        <v>1155</v>
      </c>
      <c r="B343" s="3" t="s">
        <v>1156</v>
      </c>
      <c r="C343" s="4">
        <v>1</v>
      </c>
      <c r="D343" s="5">
        <v>12.59</v>
      </c>
      <c r="E343" s="5">
        <v>49.99</v>
      </c>
      <c r="F343" s="4">
        <v>100061677</v>
      </c>
      <c r="G343" s="3" t="s">
        <v>94</v>
      </c>
      <c r="H343" s="7"/>
      <c r="I343" s="5">
        <v>6.2950000000000008</v>
      </c>
      <c r="J343" s="3" t="s">
        <v>506</v>
      </c>
      <c r="K343" s="3" t="s">
        <v>1157</v>
      </c>
      <c r="L343" s="3" t="s">
        <v>32</v>
      </c>
      <c r="M343" s="3"/>
      <c r="N343" s="8" t="str">
        <f>HYPERLINK("http://slimages.macys.com/is/image/MCY/14815918 ")</f>
        <v xml:space="preserve">http://slimages.macys.com/is/image/MCY/14815918 </v>
      </c>
    </row>
    <row r="344" spans="1:14" ht="60" x14ac:dyDescent="0.25">
      <c r="A344" s="7" t="s">
        <v>1158</v>
      </c>
      <c r="B344" s="3" t="s">
        <v>1159</v>
      </c>
      <c r="C344" s="4">
        <v>2</v>
      </c>
      <c r="D344" s="5">
        <v>10.7</v>
      </c>
      <c r="E344" s="5">
        <v>25.99</v>
      </c>
      <c r="F344" s="4" t="s">
        <v>1160</v>
      </c>
      <c r="G344" s="3" t="s">
        <v>220</v>
      </c>
      <c r="H344" s="7"/>
      <c r="I344" s="5">
        <v>6.2416666666666671</v>
      </c>
      <c r="J344" s="3" t="s">
        <v>80</v>
      </c>
      <c r="K344" s="3" t="s">
        <v>1010</v>
      </c>
      <c r="L344" s="3" t="s">
        <v>32</v>
      </c>
      <c r="M344" s="3"/>
      <c r="N344" s="8" t="str">
        <f>HYPERLINK("http://slimages.macys.com/is/image/MCY/9211718 ")</f>
        <v xml:space="preserve">http://slimages.macys.com/is/image/MCY/9211718 </v>
      </c>
    </row>
    <row r="345" spans="1:14" ht="48" x14ac:dyDescent="0.25">
      <c r="A345" s="7" t="s">
        <v>1161</v>
      </c>
      <c r="B345" s="3" t="s">
        <v>1162</v>
      </c>
      <c r="C345" s="4">
        <v>1</v>
      </c>
      <c r="D345" s="5">
        <v>12.33</v>
      </c>
      <c r="E345" s="5">
        <v>29.99</v>
      </c>
      <c r="F345" s="4" t="s">
        <v>1163</v>
      </c>
      <c r="G345" s="3"/>
      <c r="H345" s="7"/>
      <c r="I345" s="5">
        <v>6.165</v>
      </c>
      <c r="J345" s="3" t="s">
        <v>47</v>
      </c>
      <c r="K345" s="3" t="s">
        <v>355</v>
      </c>
      <c r="L345" s="3" t="s">
        <v>32</v>
      </c>
      <c r="M345" s="3" t="s">
        <v>208</v>
      </c>
      <c r="N345" s="8" t="str">
        <f>HYPERLINK("http://slimages.macys.com/is/image/MCY/14911488 ")</f>
        <v xml:space="preserve">http://slimages.macys.com/is/image/MCY/14911488 </v>
      </c>
    </row>
    <row r="346" spans="1:14" ht="48" x14ac:dyDescent="0.25">
      <c r="A346" s="7" t="s">
        <v>1164</v>
      </c>
      <c r="B346" s="3" t="s">
        <v>1165</v>
      </c>
      <c r="C346" s="4">
        <v>1</v>
      </c>
      <c r="D346" s="5">
        <v>10.55</v>
      </c>
      <c r="E346" s="5">
        <v>22.99</v>
      </c>
      <c r="F346" s="4" t="s">
        <v>1166</v>
      </c>
      <c r="G346" s="3" t="s">
        <v>137</v>
      </c>
      <c r="H346" s="7" t="s">
        <v>683</v>
      </c>
      <c r="I346" s="5">
        <v>6.1541666666666668</v>
      </c>
      <c r="J346" s="3" t="s">
        <v>80</v>
      </c>
      <c r="K346" s="3" t="s">
        <v>48</v>
      </c>
      <c r="L346" s="3" t="s">
        <v>32</v>
      </c>
      <c r="M346" s="3" t="s">
        <v>73</v>
      </c>
      <c r="N346" s="8" t="str">
        <f>HYPERLINK("http://slimages.macys.com/is/image/MCY/9602397 ")</f>
        <v xml:space="preserve">http://slimages.macys.com/is/image/MCY/9602397 </v>
      </c>
    </row>
    <row r="347" spans="1:14" ht="48" x14ac:dyDescent="0.25">
      <c r="A347" s="7" t="s">
        <v>1167</v>
      </c>
      <c r="B347" s="3" t="s">
        <v>1168</v>
      </c>
      <c r="C347" s="4">
        <v>1</v>
      </c>
      <c r="D347" s="5">
        <v>10.49</v>
      </c>
      <c r="E347" s="5">
        <v>25.99</v>
      </c>
      <c r="F347" s="4" t="s">
        <v>1169</v>
      </c>
      <c r="G347" s="3" t="s">
        <v>29</v>
      </c>
      <c r="H347" s="7"/>
      <c r="I347" s="5">
        <v>6.1191666666666666</v>
      </c>
      <c r="J347" s="3" t="s">
        <v>80</v>
      </c>
      <c r="K347" s="3" t="s">
        <v>48</v>
      </c>
      <c r="L347" s="3" t="s">
        <v>32</v>
      </c>
      <c r="M347" s="3" t="s">
        <v>1170</v>
      </c>
      <c r="N347" s="8" t="str">
        <f>HYPERLINK("http://slimages.macys.com/is/image/MCY/3804200 ")</f>
        <v xml:space="preserve">http://slimages.macys.com/is/image/MCY/3804200 </v>
      </c>
    </row>
    <row r="348" spans="1:14" ht="48" x14ac:dyDescent="0.25">
      <c r="A348" s="7" t="s">
        <v>1171</v>
      </c>
      <c r="B348" s="3" t="s">
        <v>1172</v>
      </c>
      <c r="C348" s="4">
        <v>4</v>
      </c>
      <c r="D348" s="5">
        <v>10.38</v>
      </c>
      <c r="E348" s="5">
        <v>24.99</v>
      </c>
      <c r="F348" s="4" t="s">
        <v>1173</v>
      </c>
      <c r="G348" s="3" t="s">
        <v>59</v>
      </c>
      <c r="H348" s="7"/>
      <c r="I348" s="5">
        <v>6.0550000000000006</v>
      </c>
      <c r="J348" s="3" t="s">
        <v>80</v>
      </c>
      <c r="K348" s="3" t="s">
        <v>48</v>
      </c>
      <c r="L348" s="3" t="s">
        <v>32</v>
      </c>
      <c r="M348" s="3" t="s">
        <v>406</v>
      </c>
      <c r="N348" s="8" t="str">
        <f>HYPERLINK("http://slimages.macys.com/is/image/MCY/9964171 ")</f>
        <v xml:space="preserve">http://slimages.macys.com/is/image/MCY/9964171 </v>
      </c>
    </row>
    <row r="349" spans="1:14" ht="48" x14ac:dyDescent="0.25">
      <c r="A349" s="7" t="s">
        <v>1174</v>
      </c>
      <c r="B349" s="3" t="s">
        <v>1175</v>
      </c>
      <c r="C349" s="4">
        <v>2</v>
      </c>
      <c r="D349" s="5">
        <v>10.38</v>
      </c>
      <c r="E349" s="5">
        <v>36.99</v>
      </c>
      <c r="F349" s="4" t="s">
        <v>1176</v>
      </c>
      <c r="G349" s="3"/>
      <c r="H349" s="7"/>
      <c r="I349" s="5">
        <v>6.0550000000000006</v>
      </c>
      <c r="J349" s="3" t="s">
        <v>80</v>
      </c>
      <c r="K349" s="3" t="s">
        <v>1177</v>
      </c>
      <c r="L349" s="3" t="s">
        <v>32</v>
      </c>
      <c r="M349" s="3" t="s">
        <v>39</v>
      </c>
      <c r="N349" s="8" t="str">
        <f>HYPERLINK("http://slimages.macys.com/is/image/MCY/10594570 ")</f>
        <v xml:space="preserve">http://slimages.macys.com/is/image/MCY/10594570 </v>
      </c>
    </row>
    <row r="350" spans="1:14" ht="48" x14ac:dyDescent="0.25">
      <c r="A350" s="7" t="s">
        <v>1178</v>
      </c>
      <c r="B350" s="3" t="s">
        <v>1179</v>
      </c>
      <c r="C350" s="4">
        <v>1</v>
      </c>
      <c r="D350" s="5">
        <v>12.1</v>
      </c>
      <c r="E350" s="5">
        <v>39.99</v>
      </c>
      <c r="F350" s="4" t="s">
        <v>1180</v>
      </c>
      <c r="G350" s="3" t="s">
        <v>535</v>
      </c>
      <c r="H350" s="7"/>
      <c r="I350" s="5">
        <v>6.05</v>
      </c>
      <c r="J350" s="3" t="s">
        <v>419</v>
      </c>
      <c r="K350" s="3" t="s">
        <v>420</v>
      </c>
      <c r="L350" s="3" t="s">
        <v>32</v>
      </c>
      <c r="M350" s="3" t="s">
        <v>322</v>
      </c>
      <c r="N350" s="8" t="str">
        <f>HYPERLINK("http://slimages.macys.com/is/image/MCY/2519117 ")</f>
        <v xml:space="preserve">http://slimages.macys.com/is/image/MCY/2519117 </v>
      </c>
    </row>
    <row r="351" spans="1:14" ht="48" x14ac:dyDescent="0.25">
      <c r="A351" s="7" t="s">
        <v>1181</v>
      </c>
      <c r="B351" s="3" t="s">
        <v>1182</v>
      </c>
      <c r="C351" s="4">
        <v>1</v>
      </c>
      <c r="D351" s="5">
        <v>10.15</v>
      </c>
      <c r="E351" s="5">
        <v>19.989999999999998</v>
      </c>
      <c r="F351" s="4">
        <v>42552</v>
      </c>
      <c r="G351" s="3" t="s">
        <v>114</v>
      </c>
      <c r="H351" s="7"/>
      <c r="I351" s="5">
        <v>5.9208333333333343</v>
      </c>
      <c r="J351" s="3" t="s">
        <v>80</v>
      </c>
      <c r="K351" s="3" t="s">
        <v>1183</v>
      </c>
      <c r="L351" s="3" t="s">
        <v>32</v>
      </c>
      <c r="M351" s="3" t="s">
        <v>208</v>
      </c>
      <c r="N351" s="8" t="str">
        <f>HYPERLINK("http://slimages.macys.com/is/image/MCY/10009174 ")</f>
        <v xml:space="preserve">http://slimages.macys.com/is/image/MCY/10009174 </v>
      </c>
    </row>
    <row r="352" spans="1:14" ht="48" x14ac:dyDescent="0.25">
      <c r="A352" s="7" t="s">
        <v>1184</v>
      </c>
      <c r="B352" s="3" t="s">
        <v>1185</v>
      </c>
      <c r="C352" s="4">
        <v>3</v>
      </c>
      <c r="D352" s="5">
        <v>10.130000000000001</v>
      </c>
      <c r="E352" s="5">
        <v>29.99</v>
      </c>
      <c r="F352" s="4" t="s">
        <v>1186</v>
      </c>
      <c r="G352" s="3" t="s">
        <v>114</v>
      </c>
      <c r="H352" s="7"/>
      <c r="I352" s="5">
        <v>5.9091666666666667</v>
      </c>
      <c r="J352" s="3" t="s">
        <v>80</v>
      </c>
      <c r="K352" s="3" t="s">
        <v>896</v>
      </c>
      <c r="L352" s="3" t="s">
        <v>32</v>
      </c>
      <c r="M352" s="3" t="s">
        <v>1187</v>
      </c>
      <c r="N352" s="8" t="str">
        <f>HYPERLINK("http://slimages.macys.com/is/image/MCY/13905613 ")</f>
        <v xml:space="preserve">http://slimages.macys.com/is/image/MCY/13905613 </v>
      </c>
    </row>
    <row r="353" spans="1:14" ht="60" x14ac:dyDescent="0.25">
      <c r="A353" s="7" t="s">
        <v>1188</v>
      </c>
      <c r="B353" s="3" t="s">
        <v>1189</v>
      </c>
      <c r="C353" s="4">
        <v>1</v>
      </c>
      <c r="D353" s="5">
        <v>11.7</v>
      </c>
      <c r="E353" s="5">
        <v>39.99</v>
      </c>
      <c r="F353" s="4" t="s">
        <v>1190</v>
      </c>
      <c r="G353" s="3" t="s">
        <v>99</v>
      </c>
      <c r="H353" s="7"/>
      <c r="I353" s="5">
        <v>5.85</v>
      </c>
      <c r="J353" s="3" t="s">
        <v>100</v>
      </c>
      <c r="K353" s="3" t="s">
        <v>101</v>
      </c>
      <c r="L353" s="3" t="s">
        <v>32</v>
      </c>
      <c r="M353" s="3"/>
      <c r="N353" s="8" t="str">
        <f>HYPERLINK("http://slimages.macys.com/is/image/MCY/16633344 ")</f>
        <v xml:space="preserve">http://slimages.macys.com/is/image/MCY/16633344 </v>
      </c>
    </row>
    <row r="354" spans="1:14" ht="48" x14ac:dyDescent="0.25">
      <c r="A354" s="7" t="s">
        <v>1191</v>
      </c>
      <c r="B354" s="3" t="s">
        <v>1192</v>
      </c>
      <c r="C354" s="4">
        <v>1</v>
      </c>
      <c r="D354" s="5">
        <v>9.4</v>
      </c>
      <c r="E354" s="5">
        <v>19.989999999999998</v>
      </c>
      <c r="F354" s="4" t="s">
        <v>1193</v>
      </c>
      <c r="G354" s="3" t="s">
        <v>1194</v>
      </c>
      <c r="H354" s="7" t="s">
        <v>655</v>
      </c>
      <c r="I354" s="5">
        <v>5.7966666666666669</v>
      </c>
      <c r="J354" s="3" t="s">
        <v>380</v>
      </c>
      <c r="K354" s="3" t="s">
        <v>1195</v>
      </c>
      <c r="L354" s="3"/>
      <c r="M354" s="3"/>
      <c r="N354" s="8" t="str">
        <f>HYPERLINK("http://slimages.macys.com/is/image/MCY/17719600 ")</f>
        <v xml:space="preserve">http://slimages.macys.com/is/image/MCY/17719600 </v>
      </c>
    </row>
    <row r="355" spans="1:14" ht="48" x14ac:dyDescent="0.25">
      <c r="A355" s="7" t="s">
        <v>1196</v>
      </c>
      <c r="B355" s="3" t="s">
        <v>1197</v>
      </c>
      <c r="C355" s="4">
        <v>4</v>
      </c>
      <c r="D355" s="5">
        <v>9.93</v>
      </c>
      <c r="E355" s="5">
        <v>24.99</v>
      </c>
      <c r="F355" s="4" t="s">
        <v>1198</v>
      </c>
      <c r="G355" s="3" t="s">
        <v>53</v>
      </c>
      <c r="H355" s="7"/>
      <c r="I355" s="5">
        <v>5.7924999999999995</v>
      </c>
      <c r="J355" s="3" t="s">
        <v>80</v>
      </c>
      <c r="K355" s="3" t="s">
        <v>48</v>
      </c>
      <c r="L355" s="3" t="s">
        <v>32</v>
      </c>
      <c r="M355" s="3" t="s">
        <v>406</v>
      </c>
      <c r="N355" s="8" t="str">
        <f>HYPERLINK("http://slimages.macys.com/is/image/MCY/9964171 ")</f>
        <v xml:space="preserve">http://slimages.macys.com/is/image/MCY/9964171 </v>
      </c>
    </row>
    <row r="356" spans="1:14" ht="60" x14ac:dyDescent="0.25">
      <c r="A356" s="7" t="s">
        <v>1199</v>
      </c>
      <c r="B356" s="3" t="s">
        <v>1200</v>
      </c>
      <c r="C356" s="4">
        <v>2</v>
      </c>
      <c r="D356" s="5">
        <v>11.37</v>
      </c>
      <c r="E356" s="5">
        <v>39.99</v>
      </c>
      <c r="F356" s="4" t="s">
        <v>1201</v>
      </c>
      <c r="G356" s="3" t="s">
        <v>319</v>
      </c>
      <c r="H356" s="7"/>
      <c r="I356" s="5">
        <v>5.6850000000000005</v>
      </c>
      <c r="J356" s="3" t="s">
        <v>100</v>
      </c>
      <c r="K356" s="3" t="s">
        <v>101</v>
      </c>
      <c r="L356" s="3" t="s">
        <v>32</v>
      </c>
      <c r="M356" s="3"/>
      <c r="N356" s="8" t="str">
        <f>HYPERLINK("http://slimages.macys.com/is/image/MCY/13441238 ")</f>
        <v xml:space="preserve">http://slimages.macys.com/is/image/MCY/13441238 </v>
      </c>
    </row>
    <row r="357" spans="1:14" ht="60" x14ac:dyDescent="0.25">
      <c r="A357" s="7" t="s">
        <v>1202</v>
      </c>
      <c r="B357" s="3" t="s">
        <v>1203</v>
      </c>
      <c r="C357" s="4">
        <v>1</v>
      </c>
      <c r="D357" s="5">
        <v>9.09</v>
      </c>
      <c r="E357" s="5">
        <v>19.989999999999998</v>
      </c>
      <c r="F357" s="4" t="s">
        <v>1204</v>
      </c>
      <c r="G357" s="3" t="s">
        <v>695</v>
      </c>
      <c r="H357" s="7" t="s">
        <v>1205</v>
      </c>
      <c r="I357" s="5">
        <v>5.6055000000000001</v>
      </c>
      <c r="J357" s="3" t="s">
        <v>660</v>
      </c>
      <c r="K357" s="3" t="s">
        <v>597</v>
      </c>
      <c r="L357" s="3" t="s">
        <v>710</v>
      </c>
      <c r="M357" s="3"/>
      <c r="N357" s="8" t="str">
        <f>HYPERLINK("http://slimages.macys.com/is/image/MCY/8763894 ")</f>
        <v xml:space="preserve">http://slimages.macys.com/is/image/MCY/8763894 </v>
      </c>
    </row>
    <row r="358" spans="1:14" ht="48" x14ac:dyDescent="0.25">
      <c r="A358" s="7" t="s">
        <v>1206</v>
      </c>
      <c r="B358" s="3" t="s">
        <v>1207</v>
      </c>
      <c r="C358" s="4">
        <v>3</v>
      </c>
      <c r="D358" s="5">
        <v>11.2</v>
      </c>
      <c r="E358" s="5">
        <v>29.99</v>
      </c>
      <c r="F358" s="4" t="s">
        <v>1208</v>
      </c>
      <c r="G358" s="3" t="s">
        <v>64</v>
      </c>
      <c r="H358" s="7"/>
      <c r="I358" s="5">
        <v>5.6</v>
      </c>
      <c r="J358" s="3" t="s">
        <v>419</v>
      </c>
      <c r="K358" s="3" t="s">
        <v>420</v>
      </c>
      <c r="L358" s="3" t="s">
        <v>32</v>
      </c>
      <c r="M358" s="3"/>
      <c r="N358" s="8" t="str">
        <f>HYPERLINK("http://slimages.macys.com/is/image/MCY/8432521 ")</f>
        <v xml:space="preserve">http://slimages.macys.com/is/image/MCY/8432521 </v>
      </c>
    </row>
    <row r="359" spans="1:14" ht="48" x14ac:dyDescent="0.25">
      <c r="A359" s="7" t="s">
        <v>1209</v>
      </c>
      <c r="B359" s="3" t="s">
        <v>1210</v>
      </c>
      <c r="C359" s="4">
        <v>4</v>
      </c>
      <c r="D359" s="5">
        <v>11.2</v>
      </c>
      <c r="E359" s="5">
        <v>29.99</v>
      </c>
      <c r="F359" s="4" t="s">
        <v>1211</v>
      </c>
      <c r="G359" s="3" t="s">
        <v>36</v>
      </c>
      <c r="H359" s="7"/>
      <c r="I359" s="5">
        <v>5.6</v>
      </c>
      <c r="J359" s="3" t="s">
        <v>419</v>
      </c>
      <c r="K359" s="3" t="s">
        <v>420</v>
      </c>
      <c r="L359" s="3" t="s">
        <v>32</v>
      </c>
      <c r="M359" s="3"/>
      <c r="N359" s="8" t="str">
        <f>HYPERLINK("http://slimages.macys.com/is/image/MCY/8432521 ")</f>
        <v xml:space="preserve">http://slimages.macys.com/is/image/MCY/8432521 </v>
      </c>
    </row>
    <row r="360" spans="1:14" ht="48" x14ac:dyDescent="0.25">
      <c r="A360" s="7" t="s">
        <v>1212</v>
      </c>
      <c r="B360" s="3" t="s">
        <v>1213</v>
      </c>
      <c r="C360" s="4">
        <v>2</v>
      </c>
      <c r="D360" s="5">
        <v>9.5500000000000007</v>
      </c>
      <c r="E360" s="5">
        <v>19.989999999999998</v>
      </c>
      <c r="F360" s="4" t="s">
        <v>1214</v>
      </c>
      <c r="G360" s="3" t="s">
        <v>220</v>
      </c>
      <c r="H360" s="7"/>
      <c r="I360" s="5">
        <v>5.5708333333333329</v>
      </c>
      <c r="J360" s="3" t="s">
        <v>80</v>
      </c>
      <c r="K360" s="3" t="s">
        <v>1183</v>
      </c>
      <c r="L360" s="3" t="s">
        <v>32</v>
      </c>
      <c r="M360" s="3" t="s">
        <v>208</v>
      </c>
      <c r="N360" s="8" t="str">
        <f>HYPERLINK("http://slimages.macys.com/is/image/MCY/8565311 ")</f>
        <v xml:space="preserve">http://slimages.macys.com/is/image/MCY/8565311 </v>
      </c>
    </row>
    <row r="361" spans="1:14" ht="96" x14ac:dyDescent="0.25">
      <c r="A361" s="7" t="s">
        <v>1215</v>
      </c>
      <c r="B361" s="3" t="s">
        <v>1216</v>
      </c>
      <c r="C361" s="4">
        <v>1</v>
      </c>
      <c r="D361" s="5">
        <v>9.51</v>
      </c>
      <c r="E361" s="5">
        <v>19.989999999999998</v>
      </c>
      <c r="F361" s="4" t="s">
        <v>1217</v>
      </c>
      <c r="G361" s="3" t="s">
        <v>512</v>
      </c>
      <c r="H361" s="7"/>
      <c r="I361" s="5">
        <v>5.5475000000000003</v>
      </c>
      <c r="J361" s="3" t="s">
        <v>80</v>
      </c>
      <c r="K361" s="3" t="s">
        <v>48</v>
      </c>
      <c r="L361" s="3" t="s">
        <v>32</v>
      </c>
      <c r="M361" s="3" t="s">
        <v>1059</v>
      </c>
      <c r="N361" s="8" t="str">
        <f>HYPERLINK("http://slimages.macys.com/is/image/MCY/9602366 ")</f>
        <v xml:space="preserve">http://slimages.macys.com/is/image/MCY/9602366 </v>
      </c>
    </row>
    <row r="362" spans="1:14" ht="96" x14ac:dyDescent="0.25">
      <c r="A362" s="7" t="s">
        <v>1218</v>
      </c>
      <c r="B362" s="3" t="s">
        <v>1219</v>
      </c>
      <c r="C362" s="4">
        <v>2</v>
      </c>
      <c r="D362" s="5">
        <v>9.51</v>
      </c>
      <c r="E362" s="5">
        <v>19.989999999999998</v>
      </c>
      <c r="F362" s="4" t="s">
        <v>1220</v>
      </c>
      <c r="G362" s="3" t="s">
        <v>36</v>
      </c>
      <c r="H362" s="7"/>
      <c r="I362" s="5">
        <v>5.5475000000000003</v>
      </c>
      <c r="J362" s="3" t="s">
        <v>80</v>
      </c>
      <c r="K362" s="3" t="s">
        <v>48</v>
      </c>
      <c r="L362" s="3" t="s">
        <v>32</v>
      </c>
      <c r="M362" s="3" t="s">
        <v>1059</v>
      </c>
      <c r="N362" s="8" t="str">
        <f>HYPERLINK("http://slimages.macys.com/is/image/MCY/9602366 ")</f>
        <v xml:space="preserve">http://slimages.macys.com/is/image/MCY/9602366 </v>
      </c>
    </row>
    <row r="363" spans="1:14" ht="96" x14ac:dyDescent="0.25">
      <c r="A363" s="7" t="s">
        <v>1218</v>
      </c>
      <c r="B363" s="3" t="s">
        <v>1219</v>
      </c>
      <c r="C363" s="4">
        <v>1</v>
      </c>
      <c r="D363" s="5">
        <v>9.51</v>
      </c>
      <c r="E363" s="5">
        <v>19.989999999999998</v>
      </c>
      <c r="F363" s="4" t="s">
        <v>1220</v>
      </c>
      <c r="G363" s="3" t="s">
        <v>36</v>
      </c>
      <c r="H363" s="7"/>
      <c r="I363" s="5">
        <v>5.5475000000000003</v>
      </c>
      <c r="J363" s="3" t="s">
        <v>80</v>
      </c>
      <c r="K363" s="3" t="s">
        <v>48</v>
      </c>
      <c r="L363" s="3" t="s">
        <v>32</v>
      </c>
      <c r="M363" s="3" t="s">
        <v>1059</v>
      </c>
      <c r="N363" s="8" t="str">
        <f>HYPERLINK("http://slimages.macys.com/is/image/MCY/9602366 ")</f>
        <v xml:space="preserve">http://slimages.macys.com/is/image/MCY/9602366 </v>
      </c>
    </row>
    <row r="364" spans="1:14" ht="48" x14ac:dyDescent="0.25">
      <c r="A364" s="7" t="s">
        <v>1221</v>
      </c>
      <c r="B364" s="3" t="s">
        <v>1222</v>
      </c>
      <c r="C364" s="4">
        <v>4</v>
      </c>
      <c r="D364" s="5">
        <v>9.43</v>
      </c>
      <c r="E364" s="5">
        <v>19.989999999999998</v>
      </c>
      <c r="F364" s="4" t="s">
        <v>1223</v>
      </c>
      <c r="G364" s="3" t="s">
        <v>393</v>
      </c>
      <c r="H364" s="7"/>
      <c r="I364" s="5">
        <v>5.5008333333333335</v>
      </c>
      <c r="J364" s="3" t="s">
        <v>80</v>
      </c>
      <c r="K364" s="3" t="s">
        <v>1224</v>
      </c>
      <c r="L364" s="3"/>
      <c r="M364" s="3"/>
      <c r="N364" s="8" t="str">
        <f>HYPERLINK("http://slimages.macys.com/is/image/MCY/17620642 ")</f>
        <v xml:space="preserve">http://slimages.macys.com/is/image/MCY/17620642 </v>
      </c>
    </row>
    <row r="365" spans="1:14" ht="48" x14ac:dyDescent="0.25">
      <c r="A365" s="7" t="s">
        <v>1225</v>
      </c>
      <c r="B365" s="3" t="s">
        <v>1226</v>
      </c>
      <c r="C365" s="4">
        <v>1</v>
      </c>
      <c r="D365" s="5">
        <v>11</v>
      </c>
      <c r="E365" s="5">
        <v>32.99</v>
      </c>
      <c r="F365" s="4" t="s">
        <v>1227</v>
      </c>
      <c r="G365" s="3" t="s">
        <v>114</v>
      </c>
      <c r="H365" s="7"/>
      <c r="I365" s="5">
        <v>5.5</v>
      </c>
      <c r="J365" s="3" t="s">
        <v>47</v>
      </c>
      <c r="K365" s="3" t="s">
        <v>1228</v>
      </c>
      <c r="L365" s="3" t="s">
        <v>32</v>
      </c>
      <c r="M365" s="3" t="s">
        <v>208</v>
      </c>
      <c r="N365" s="8" t="str">
        <f>HYPERLINK("http://slimages.macys.com/is/image/MCY/13743861 ")</f>
        <v xml:space="preserve">http://slimages.macys.com/is/image/MCY/13743861 </v>
      </c>
    </row>
    <row r="366" spans="1:14" ht="48" x14ac:dyDescent="0.25">
      <c r="A366" s="7" t="s">
        <v>1229</v>
      </c>
      <c r="B366" s="3" t="s">
        <v>1230</v>
      </c>
      <c r="C366" s="4">
        <v>1</v>
      </c>
      <c r="D366" s="5">
        <v>8.86</v>
      </c>
      <c r="E366" s="5">
        <v>19.989999999999998</v>
      </c>
      <c r="F366" s="4" t="s">
        <v>1231</v>
      </c>
      <c r="G366" s="3" t="s">
        <v>1232</v>
      </c>
      <c r="H366" s="7" t="s">
        <v>1205</v>
      </c>
      <c r="I366" s="5">
        <v>5.4636666666666667</v>
      </c>
      <c r="J366" s="3" t="s">
        <v>660</v>
      </c>
      <c r="K366" s="3" t="s">
        <v>597</v>
      </c>
      <c r="L366" s="3" t="s">
        <v>32</v>
      </c>
      <c r="M366" s="3" t="s">
        <v>1233</v>
      </c>
      <c r="N366" s="8" t="str">
        <f>HYPERLINK("http://slimages.macys.com/is/image/MCY/11251914 ")</f>
        <v xml:space="preserve">http://slimages.macys.com/is/image/MCY/11251914 </v>
      </c>
    </row>
    <row r="367" spans="1:14" ht="48" x14ac:dyDescent="0.25">
      <c r="A367" s="7" t="s">
        <v>1234</v>
      </c>
      <c r="B367" s="3" t="s">
        <v>1235</v>
      </c>
      <c r="C367" s="4">
        <v>2</v>
      </c>
      <c r="D367" s="5">
        <v>10.9</v>
      </c>
      <c r="E367" s="5">
        <v>55</v>
      </c>
      <c r="F367" s="4" t="s">
        <v>1236</v>
      </c>
      <c r="G367" s="3" t="s">
        <v>297</v>
      </c>
      <c r="H367" s="7"/>
      <c r="I367" s="5">
        <v>5.45</v>
      </c>
      <c r="J367" s="3" t="s">
        <v>65</v>
      </c>
      <c r="K367" s="3" t="s">
        <v>1237</v>
      </c>
      <c r="L367" s="3" t="s">
        <v>32</v>
      </c>
      <c r="M367" s="3" t="s">
        <v>303</v>
      </c>
      <c r="N367" s="8" t="str">
        <f>HYPERLINK("http://slimages.macys.com/is/image/MCY/10126763 ")</f>
        <v xml:space="preserve">http://slimages.macys.com/is/image/MCY/10126763 </v>
      </c>
    </row>
    <row r="368" spans="1:14" ht="48" x14ac:dyDescent="0.25">
      <c r="A368" s="7" t="s">
        <v>1238</v>
      </c>
      <c r="B368" s="3" t="s">
        <v>1239</v>
      </c>
      <c r="C368" s="4">
        <v>1</v>
      </c>
      <c r="D368" s="5">
        <v>9.25</v>
      </c>
      <c r="E368" s="5">
        <v>9.93</v>
      </c>
      <c r="F368" s="4">
        <v>55765</v>
      </c>
      <c r="G368" s="3" t="s">
        <v>220</v>
      </c>
      <c r="H368" s="7"/>
      <c r="I368" s="5">
        <v>5.395833333333333</v>
      </c>
      <c r="J368" s="3" t="s">
        <v>80</v>
      </c>
      <c r="K368" s="3" t="s">
        <v>1183</v>
      </c>
      <c r="L368" s="3" t="s">
        <v>32</v>
      </c>
      <c r="M368" s="3" t="s">
        <v>208</v>
      </c>
      <c r="N368" s="8" t="str">
        <f>HYPERLINK("http://slimages.macys.com/is/image/MCY/8759583 ")</f>
        <v xml:space="preserve">http://slimages.macys.com/is/image/MCY/8759583 </v>
      </c>
    </row>
    <row r="369" spans="1:14" ht="48" x14ac:dyDescent="0.25">
      <c r="A369" s="7" t="s">
        <v>1240</v>
      </c>
      <c r="B369" s="3" t="s">
        <v>1241</v>
      </c>
      <c r="C369" s="4">
        <v>2</v>
      </c>
      <c r="D369" s="5">
        <v>9.1999999999999993</v>
      </c>
      <c r="E369" s="5">
        <v>17.989999999999998</v>
      </c>
      <c r="F369" s="4" t="s">
        <v>1242</v>
      </c>
      <c r="G369" s="3" t="s">
        <v>695</v>
      </c>
      <c r="H369" s="7"/>
      <c r="I369" s="5">
        <v>5.3666666666666671</v>
      </c>
      <c r="J369" s="3" t="s">
        <v>80</v>
      </c>
      <c r="K369" s="3" t="s">
        <v>1183</v>
      </c>
      <c r="L369" s="3" t="s">
        <v>32</v>
      </c>
      <c r="M369" s="3" t="s">
        <v>208</v>
      </c>
      <c r="N369" s="8" t="str">
        <f>HYPERLINK("http://slimages.macys.com/is/image/MCY/12936375 ")</f>
        <v xml:space="preserve">http://slimages.macys.com/is/image/MCY/12936375 </v>
      </c>
    </row>
    <row r="370" spans="1:14" ht="48" x14ac:dyDescent="0.25">
      <c r="A370" s="7" t="s">
        <v>1243</v>
      </c>
      <c r="B370" s="3" t="s">
        <v>1244</v>
      </c>
      <c r="C370" s="4">
        <v>1</v>
      </c>
      <c r="D370" s="5">
        <v>8.93</v>
      </c>
      <c r="E370" s="5">
        <v>19.989999999999998</v>
      </c>
      <c r="F370" s="4" t="s">
        <v>1245</v>
      </c>
      <c r="G370" s="3" t="s">
        <v>520</v>
      </c>
      <c r="H370" s="7"/>
      <c r="I370" s="5">
        <v>5.2091666666666674</v>
      </c>
      <c r="J370" s="3" t="s">
        <v>80</v>
      </c>
      <c r="K370" s="3" t="s">
        <v>48</v>
      </c>
      <c r="L370" s="3" t="s">
        <v>32</v>
      </c>
      <c r="M370" s="3"/>
      <c r="N370" s="8" t="str">
        <f>HYPERLINK("http://slimages.macys.com/is/image/MCY/9927294 ")</f>
        <v xml:space="preserve">http://slimages.macys.com/is/image/MCY/9927294 </v>
      </c>
    </row>
    <row r="371" spans="1:14" ht="48" x14ac:dyDescent="0.25">
      <c r="A371" s="7" t="s">
        <v>1246</v>
      </c>
      <c r="B371" s="3" t="s">
        <v>1247</v>
      </c>
      <c r="C371" s="4">
        <v>1</v>
      </c>
      <c r="D371" s="5">
        <v>8.93</v>
      </c>
      <c r="E371" s="5">
        <v>19.989999999999998</v>
      </c>
      <c r="F371" s="4" t="s">
        <v>1248</v>
      </c>
      <c r="G371" s="3" t="s">
        <v>695</v>
      </c>
      <c r="H371" s="7"/>
      <c r="I371" s="5">
        <v>5.2091666666666674</v>
      </c>
      <c r="J371" s="3" t="s">
        <v>80</v>
      </c>
      <c r="K371" s="3" t="s">
        <v>48</v>
      </c>
      <c r="L371" s="3" t="s">
        <v>32</v>
      </c>
      <c r="M371" s="3"/>
      <c r="N371" s="8" t="str">
        <f>HYPERLINK("http://slimages.macys.com/is/image/MCY/9927294 ")</f>
        <v xml:space="preserve">http://slimages.macys.com/is/image/MCY/9927294 </v>
      </c>
    </row>
    <row r="372" spans="1:14" ht="48" x14ac:dyDescent="0.25">
      <c r="A372" s="7" t="s">
        <v>1249</v>
      </c>
      <c r="B372" s="3" t="s">
        <v>1250</v>
      </c>
      <c r="C372" s="4">
        <v>4</v>
      </c>
      <c r="D372" s="5">
        <v>8.9</v>
      </c>
      <c r="E372" s="5">
        <v>17.989999999999998</v>
      </c>
      <c r="F372" s="4">
        <v>37355</v>
      </c>
      <c r="G372" s="3" t="s">
        <v>114</v>
      </c>
      <c r="H372" s="7" t="s">
        <v>1251</v>
      </c>
      <c r="I372" s="5">
        <v>5.1916666666666673</v>
      </c>
      <c r="J372" s="3" t="s">
        <v>80</v>
      </c>
      <c r="K372" s="3" t="s">
        <v>1183</v>
      </c>
      <c r="L372" s="3" t="s">
        <v>32</v>
      </c>
      <c r="M372" s="3" t="s">
        <v>208</v>
      </c>
      <c r="N372" s="8" t="str">
        <f>HYPERLINK("http://slimages.macys.com/is/image/MCY/10009173 ")</f>
        <v xml:space="preserve">http://slimages.macys.com/is/image/MCY/10009173 </v>
      </c>
    </row>
    <row r="373" spans="1:14" ht="60" x14ac:dyDescent="0.25">
      <c r="A373" s="7" t="s">
        <v>1252</v>
      </c>
      <c r="B373" s="3" t="s">
        <v>1253</v>
      </c>
      <c r="C373" s="4">
        <v>1</v>
      </c>
      <c r="D373" s="5">
        <v>10.18</v>
      </c>
      <c r="E373" s="5">
        <v>34.99</v>
      </c>
      <c r="F373" s="4" t="s">
        <v>1254</v>
      </c>
      <c r="G373" s="3" t="s">
        <v>114</v>
      </c>
      <c r="H373" s="7"/>
      <c r="I373" s="5">
        <v>5.09</v>
      </c>
      <c r="J373" s="3" t="s">
        <v>100</v>
      </c>
      <c r="K373" s="3" t="s">
        <v>101</v>
      </c>
      <c r="L373" s="3" t="s">
        <v>32</v>
      </c>
      <c r="M373" s="3"/>
      <c r="N373" s="8" t="str">
        <f>HYPERLINK("http://slimages.macys.com/is/image/MCY/11777404 ")</f>
        <v xml:space="preserve">http://slimages.macys.com/is/image/MCY/11777404 </v>
      </c>
    </row>
    <row r="374" spans="1:14" ht="48" x14ac:dyDescent="0.25">
      <c r="A374" s="7" t="s">
        <v>1255</v>
      </c>
      <c r="B374" s="3" t="s">
        <v>1256</v>
      </c>
      <c r="C374" s="4">
        <v>2</v>
      </c>
      <c r="D374" s="5">
        <v>8.6999999999999993</v>
      </c>
      <c r="E374" s="5">
        <v>18.989999999999998</v>
      </c>
      <c r="F374" s="4" t="s">
        <v>1257</v>
      </c>
      <c r="G374" s="3" t="s">
        <v>695</v>
      </c>
      <c r="H374" s="7"/>
      <c r="I374" s="5">
        <v>5.0750000000000002</v>
      </c>
      <c r="J374" s="3" t="s">
        <v>80</v>
      </c>
      <c r="K374" s="3" t="s">
        <v>1258</v>
      </c>
      <c r="L374" s="3" t="s">
        <v>32</v>
      </c>
      <c r="M374" s="3"/>
      <c r="N374" s="8" t="str">
        <f>HYPERLINK("http://slimages.macys.com/is/image/MCY/9692228 ")</f>
        <v xml:space="preserve">http://slimages.macys.com/is/image/MCY/9692228 </v>
      </c>
    </row>
    <row r="375" spans="1:14" ht="48" x14ac:dyDescent="0.25">
      <c r="A375" s="7" t="s">
        <v>1259</v>
      </c>
      <c r="B375" s="3" t="s">
        <v>1260</v>
      </c>
      <c r="C375" s="4">
        <v>1</v>
      </c>
      <c r="D375" s="5">
        <v>8.17</v>
      </c>
      <c r="E375" s="5">
        <v>19.989999999999998</v>
      </c>
      <c r="F375" s="4">
        <v>1001670800</v>
      </c>
      <c r="G375" s="3" t="s">
        <v>114</v>
      </c>
      <c r="H375" s="7"/>
      <c r="I375" s="5">
        <v>5.0381666666666671</v>
      </c>
      <c r="J375" s="3" t="s">
        <v>1053</v>
      </c>
      <c r="K375" s="3" t="s">
        <v>1261</v>
      </c>
      <c r="L375" s="3" t="s">
        <v>32</v>
      </c>
      <c r="M375" s="3" t="s">
        <v>39</v>
      </c>
      <c r="N375" s="8" t="str">
        <f>HYPERLINK("http://slimages.macys.com/is/image/MCY/9330373 ")</f>
        <v xml:space="preserve">http://slimages.macys.com/is/image/MCY/9330373 </v>
      </c>
    </row>
    <row r="376" spans="1:14" ht="84" x14ac:dyDescent="0.25">
      <c r="A376" s="7" t="s">
        <v>1262</v>
      </c>
      <c r="B376" s="3" t="s">
        <v>1263</v>
      </c>
      <c r="C376" s="4">
        <v>1</v>
      </c>
      <c r="D376" s="5">
        <v>8.6</v>
      </c>
      <c r="E376" s="5">
        <v>19.989999999999998</v>
      </c>
      <c r="F376" s="4" t="s">
        <v>1264</v>
      </c>
      <c r="G376" s="3" t="s">
        <v>114</v>
      </c>
      <c r="H376" s="7"/>
      <c r="I376" s="5">
        <v>5.0166666666666666</v>
      </c>
      <c r="J376" s="3" t="s">
        <v>116</v>
      </c>
      <c r="K376" s="3" t="s">
        <v>1265</v>
      </c>
      <c r="L376" s="3" t="s">
        <v>215</v>
      </c>
      <c r="M376" s="3"/>
      <c r="N376" s="8" t="str">
        <f>HYPERLINK("http://slimages.macys.com/is/image/MCY/8370881 ")</f>
        <v xml:space="preserve">http://slimages.macys.com/is/image/MCY/8370881 </v>
      </c>
    </row>
    <row r="377" spans="1:14" ht="48" x14ac:dyDescent="0.25">
      <c r="A377" s="7" t="s">
        <v>1266</v>
      </c>
      <c r="B377" s="3" t="s">
        <v>1267</v>
      </c>
      <c r="C377" s="4">
        <v>1</v>
      </c>
      <c r="D377" s="5">
        <v>8.1300000000000008</v>
      </c>
      <c r="E377" s="5">
        <v>19.989999999999998</v>
      </c>
      <c r="F377" s="4">
        <v>1007989000</v>
      </c>
      <c r="G377" s="3" t="s">
        <v>59</v>
      </c>
      <c r="H377" s="7" t="s">
        <v>1268</v>
      </c>
      <c r="I377" s="5">
        <v>5.0135000000000005</v>
      </c>
      <c r="J377" s="3" t="s">
        <v>802</v>
      </c>
      <c r="K377" s="3" t="s">
        <v>1269</v>
      </c>
      <c r="L377" s="3" t="s">
        <v>32</v>
      </c>
      <c r="M377" s="3" t="s">
        <v>1270</v>
      </c>
      <c r="N377" s="8" t="str">
        <f>HYPERLINK("http://slimages.macys.com/is/image/MCY/15767751 ")</f>
        <v xml:space="preserve">http://slimages.macys.com/is/image/MCY/15767751 </v>
      </c>
    </row>
    <row r="378" spans="1:14" ht="48" x14ac:dyDescent="0.25">
      <c r="A378" s="7" t="s">
        <v>1271</v>
      </c>
      <c r="B378" s="3" t="s">
        <v>1272</v>
      </c>
      <c r="C378" s="4">
        <v>1</v>
      </c>
      <c r="D378" s="5">
        <v>10</v>
      </c>
      <c r="E378" s="5">
        <v>21.99</v>
      </c>
      <c r="F378" s="4" t="s">
        <v>1273</v>
      </c>
      <c r="G378" s="3" t="s">
        <v>127</v>
      </c>
      <c r="H378" s="7"/>
      <c r="I378" s="5">
        <v>5</v>
      </c>
      <c r="J378" s="3" t="s">
        <v>47</v>
      </c>
      <c r="K378" s="3" t="s">
        <v>946</v>
      </c>
      <c r="L378" s="3"/>
      <c r="M378" s="3"/>
      <c r="N378" s="8" t="str">
        <f>HYPERLINK("http://slimages.macys.com/is/image/MCY/17351211 ")</f>
        <v xml:space="preserve">http://slimages.macys.com/is/image/MCY/17351211 </v>
      </c>
    </row>
    <row r="379" spans="1:14" ht="48" x14ac:dyDescent="0.25">
      <c r="A379" s="7" t="s">
        <v>1274</v>
      </c>
      <c r="B379" s="3" t="s">
        <v>1179</v>
      </c>
      <c r="C379" s="4">
        <v>1</v>
      </c>
      <c r="D379" s="5">
        <v>9.9</v>
      </c>
      <c r="E379" s="5">
        <v>29.99</v>
      </c>
      <c r="F379" s="4" t="s">
        <v>1275</v>
      </c>
      <c r="G379" s="3" t="s">
        <v>535</v>
      </c>
      <c r="H379" s="7"/>
      <c r="I379" s="5">
        <v>4.95</v>
      </c>
      <c r="J379" s="3" t="s">
        <v>419</v>
      </c>
      <c r="K379" s="3" t="s">
        <v>420</v>
      </c>
      <c r="L379" s="3" t="s">
        <v>32</v>
      </c>
      <c r="M379" s="3" t="s">
        <v>322</v>
      </c>
      <c r="N379" s="8" t="str">
        <f>HYPERLINK("http://slimages.macys.com/is/image/MCY/2519117 ")</f>
        <v xml:space="preserve">http://slimages.macys.com/is/image/MCY/2519117 </v>
      </c>
    </row>
    <row r="380" spans="1:14" ht="48" x14ac:dyDescent="0.25">
      <c r="A380" s="7" t="s">
        <v>1276</v>
      </c>
      <c r="B380" s="3" t="s">
        <v>1277</v>
      </c>
      <c r="C380" s="4">
        <v>4</v>
      </c>
      <c r="D380" s="5">
        <v>8.48</v>
      </c>
      <c r="E380" s="5">
        <v>17.989999999999998</v>
      </c>
      <c r="F380" s="4">
        <v>37160</v>
      </c>
      <c r="G380" s="3" t="s">
        <v>59</v>
      </c>
      <c r="H380" s="7" t="s">
        <v>1251</v>
      </c>
      <c r="I380" s="5">
        <v>4.9466666666666672</v>
      </c>
      <c r="J380" s="3" t="s">
        <v>80</v>
      </c>
      <c r="K380" s="3" t="s">
        <v>1183</v>
      </c>
      <c r="L380" s="3" t="s">
        <v>32</v>
      </c>
      <c r="M380" s="3" t="s">
        <v>208</v>
      </c>
      <c r="N380" s="8" t="str">
        <f>HYPERLINK("http://slimages.macys.com/is/image/MCY/10009173 ")</f>
        <v xml:space="preserve">http://slimages.macys.com/is/image/MCY/10009173 </v>
      </c>
    </row>
    <row r="381" spans="1:14" ht="60" x14ac:dyDescent="0.25">
      <c r="A381" s="7" t="s">
        <v>1278</v>
      </c>
      <c r="B381" s="3" t="s">
        <v>1279</v>
      </c>
      <c r="C381" s="4">
        <v>1</v>
      </c>
      <c r="D381" s="5">
        <v>9.7799999999999994</v>
      </c>
      <c r="E381" s="5">
        <v>29.99</v>
      </c>
      <c r="F381" s="4" t="s">
        <v>1280</v>
      </c>
      <c r="G381" s="3" t="s">
        <v>297</v>
      </c>
      <c r="H381" s="7"/>
      <c r="I381" s="5">
        <v>4.8900000000000006</v>
      </c>
      <c r="J381" s="3" t="s">
        <v>100</v>
      </c>
      <c r="K381" s="3" t="s">
        <v>101</v>
      </c>
      <c r="L381" s="3" t="s">
        <v>327</v>
      </c>
      <c r="M381" s="3" t="s">
        <v>303</v>
      </c>
      <c r="N381" s="8" t="str">
        <f>HYPERLINK("http://slimages.macys.com/is/image/MCY/11320830 ")</f>
        <v xml:space="preserve">http://slimages.macys.com/is/image/MCY/11320830 </v>
      </c>
    </row>
    <row r="382" spans="1:14" ht="60" x14ac:dyDescent="0.25">
      <c r="A382" s="7" t="s">
        <v>1281</v>
      </c>
      <c r="B382" s="3" t="s">
        <v>1282</v>
      </c>
      <c r="C382" s="4">
        <v>2</v>
      </c>
      <c r="D382" s="5">
        <v>9.7799999999999994</v>
      </c>
      <c r="E382" s="5">
        <v>29.99</v>
      </c>
      <c r="F382" s="4" t="s">
        <v>1280</v>
      </c>
      <c r="G382" s="3" t="s">
        <v>633</v>
      </c>
      <c r="H382" s="7"/>
      <c r="I382" s="5">
        <v>4.8900000000000006</v>
      </c>
      <c r="J382" s="3" t="s">
        <v>100</v>
      </c>
      <c r="K382" s="3" t="s">
        <v>101</v>
      </c>
      <c r="L382" s="3" t="s">
        <v>327</v>
      </c>
      <c r="M382" s="3" t="s">
        <v>303</v>
      </c>
      <c r="N382" s="8" t="str">
        <f>HYPERLINK("http://slimages.macys.com/is/image/MCY/11320819 ")</f>
        <v xml:space="preserve">http://slimages.macys.com/is/image/MCY/11320819 </v>
      </c>
    </row>
    <row r="383" spans="1:14" ht="48" x14ac:dyDescent="0.25">
      <c r="A383" s="7" t="s">
        <v>1283</v>
      </c>
      <c r="B383" s="3" t="s">
        <v>1284</v>
      </c>
      <c r="C383" s="4">
        <v>20</v>
      </c>
      <c r="D383" s="5">
        <v>7.92</v>
      </c>
      <c r="E383" s="5">
        <v>15.99</v>
      </c>
      <c r="F383" s="4">
        <v>601555424002</v>
      </c>
      <c r="G383" s="3" t="s">
        <v>336</v>
      </c>
      <c r="H383" s="7" t="s">
        <v>1205</v>
      </c>
      <c r="I383" s="5">
        <v>4.8840000000000003</v>
      </c>
      <c r="J383" s="3" t="s">
        <v>660</v>
      </c>
      <c r="K383" s="3" t="s">
        <v>38</v>
      </c>
      <c r="L383" s="3" t="s">
        <v>32</v>
      </c>
      <c r="M383" s="3" t="s">
        <v>303</v>
      </c>
      <c r="N383" s="8" t="str">
        <f>HYPERLINK("http://slimages.macys.com/is/image/MCY/2844654 ")</f>
        <v xml:space="preserve">http://slimages.macys.com/is/image/MCY/2844654 </v>
      </c>
    </row>
    <row r="384" spans="1:14" ht="48" x14ac:dyDescent="0.25">
      <c r="A384" s="7" t="s">
        <v>1285</v>
      </c>
      <c r="B384" s="3" t="s">
        <v>1286</v>
      </c>
      <c r="C384" s="4">
        <v>2</v>
      </c>
      <c r="D384" s="5">
        <v>8.34</v>
      </c>
      <c r="E384" s="5">
        <v>24.99</v>
      </c>
      <c r="F384" s="4" t="s">
        <v>1287</v>
      </c>
      <c r="G384" s="3" t="s">
        <v>345</v>
      </c>
      <c r="H384" s="7"/>
      <c r="I384" s="5">
        <v>4.8650000000000002</v>
      </c>
      <c r="J384" s="3" t="s">
        <v>80</v>
      </c>
      <c r="K384" s="3" t="s">
        <v>688</v>
      </c>
      <c r="L384" s="3" t="s">
        <v>32</v>
      </c>
      <c r="M384" s="3" t="s">
        <v>208</v>
      </c>
      <c r="N384" s="8" t="str">
        <f>HYPERLINK("http://slimages.macys.com/is/image/MCY/11685195 ")</f>
        <v xml:space="preserve">http://slimages.macys.com/is/image/MCY/11685195 </v>
      </c>
    </row>
    <row r="385" spans="1:14" ht="48" x14ac:dyDescent="0.25">
      <c r="A385" s="7" t="s">
        <v>1288</v>
      </c>
      <c r="B385" s="3" t="s">
        <v>1289</v>
      </c>
      <c r="C385" s="4">
        <v>4</v>
      </c>
      <c r="D385" s="5">
        <v>8.34</v>
      </c>
      <c r="E385" s="5">
        <v>24.99</v>
      </c>
      <c r="F385" s="4" t="s">
        <v>1290</v>
      </c>
      <c r="G385" s="3" t="s">
        <v>1291</v>
      </c>
      <c r="H385" s="7"/>
      <c r="I385" s="5">
        <v>4.8650000000000002</v>
      </c>
      <c r="J385" s="3" t="s">
        <v>80</v>
      </c>
      <c r="K385" s="3" t="s">
        <v>688</v>
      </c>
      <c r="L385" s="3" t="s">
        <v>32</v>
      </c>
      <c r="M385" s="3" t="s">
        <v>208</v>
      </c>
      <c r="N385" s="8" t="str">
        <f>HYPERLINK("http://slimages.macys.com/is/image/MCY/11685195 ")</f>
        <v xml:space="preserve">http://slimages.macys.com/is/image/MCY/11685195 </v>
      </c>
    </row>
    <row r="386" spans="1:14" ht="48" x14ac:dyDescent="0.25">
      <c r="A386" s="7" t="s">
        <v>1292</v>
      </c>
      <c r="B386" s="3" t="s">
        <v>1293</v>
      </c>
      <c r="C386" s="4">
        <v>3</v>
      </c>
      <c r="D386" s="5">
        <v>8.32</v>
      </c>
      <c r="E386" s="5">
        <v>17.989999999999998</v>
      </c>
      <c r="F386" s="4">
        <v>78619</v>
      </c>
      <c r="G386" s="3" t="s">
        <v>29</v>
      </c>
      <c r="H386" s="7" t="s">
        <v>542</v>
      </c>
      <c r="I386" s="5">
        <v>4.8533333333333335</v>
      </c>
      <c r="J386" s="3" t="s">
        <v>80</v>
      </c>
      <c r="K386" s="3" t="s">
        <v>1294</v>
      </c>
      <c r="L386" s="3" t="s">
        <v>32</v>
      </c>
      <c r="M386" s="3"/>
      <c r="N386" s="8" t="str">
        <f>HYPERLINK("http://slimages.macys.com/is/image/MCY/9359358 ")</f>
        <v xml:space="preserve">http://slimages.macys.com/is/image/MCY/9359358 </v>
      </c>
    </row>
    <row r="387" spans="1:14" ht="60" x14ac:dyDescent="0.25">
      <c r="A387" s="7" t="s">
        <v>1295</v>
      </c>
      <c r="B387" s="3" t="s">
        <v>1296</v>
      </c>
      <c r="C387" s="4">
        <v>1</v>
      </c>
      <c r="D387" s="5">
        <v>7.86</v>
      </c>
      <c r="E387" s="5">
        <v>19.989999999999998</v>
      </c>
      <c r="F387" s="4" t="s">
        <v>1297</v>
      </c>
      <c r="G387" s="3" t="s">
        <v>114</v>
      </c>
      <c r="H387" s="7" t="s">
        <v>1205</v>
      </c>
      <c r="I387" s="5">
        <v>4.8470000000000004</v>
      </c>
      <c r="J387" s="3" t="s">
        <v>380</v>
      </c>
      <c r="K387" s="3" t="s">
        <v>597</v>
      </c>
      <c r="L387" s="3" t="s">
        <v>32</v>
      </c>
      <c r="M387" s="3" t="s">
        <v>1298</v>
      </c>
      <c r="N387" s="8" t="str">
        <f>HYPERLINK("http://slimages.macys.com/is/image/MCY/15009823 ")</f>
        <v xml:space="preserve">http://slimages.macys.com/is/image/MCY/15009823 </v>
      </c>
    </row>
    <row r="388" spans="1:14" ht="48" x14ac:dyDescent="0.25">
      <c r="A388" s="7" t="s">
        <v>1299</v>
      </c>
      <c r="B388" s="3" t="s">
        <v>1300</v>
      </c>
      <c r="C388" s="4">
        <v>2</v>
      </c>
      <c r="D388" s="5">
        <v>8.25</v>
      </c>
      <c r="E388" s="5">
        <v>16.989999999999998</v>
      </c>
      <c r="F388" s="4">
        <v>44031</v>
      </c>
      <c r="G388" s="3" t="s">
        <v>220</v>
      </c>
      <c r="H388" s="7" t="s">
        <v>1077</v>
      </c>
      <c r="I388" s="5">
        <v>4.8125000000000009</v>
      </c>
      <c r="J388" s="3" t="s">
        <v>80</v>
      </c>
      <c r="K388" s="3" t="s">
        <v>1183</v>
      </c>
      <c r="L388" s="3" t="s">
        <v>32</v>
      </c>
      <c r="M388" s="3" t="s">
        <v>208</v>
      </c>
      <c r="N388" s="8" t="str">
        <f>HYPERLINK("http://slimages.macys.com/is/image/MCY/10010133 ")</f>
        <v xml:space="preserve">http://slimages.macys.com/is/image/MCY/10010133 </v>
      </c>
    </row>
    <row r="389" spans="1:14" ht="48" x14ac:dyDescent="0.25">
      <c r="A389" s="7" t="s">
        <v>1301</v>
      </c>
      <c r="B389" s="3" t="s">
        <v>1302</v>
      </c>
      <c r="C389" s="4">
        <v>2</v>
      </c>
      <c r="D389" s="5">
        <v>8.1999999999999993</v>
      </c>
      <c r="E389" s="5">
        <v>15.99</v>
      </c>
      <c r="F389" s="4" t="s">
        <v>1242</v>
      </c>
      <c r="G389" s="3" t="s">
        <v>220</v>
      </c>
      <c r="H389" s="7"/>
      <c r="I389" s="5">
        <v>4.7833333333333341</v>
      </c>
      <c r="J389" s="3" t="s">
        <v>80</v>
      </c>
      <c r="K389" s="3" t="s">
        <v>1183</v>
      </c>
      <c r="L389" s="3" t="s">
        <v>32</v>
      </c>
      <c r="M389" s="3" t="s">
        <v>208</v>
      </c>
      <c r="N389" s="8" t="str">
        <f>HYPERLINK("http://slimages.macys.com/is/image/MCY/10007760 ")</f>
        <v xml:space="preserve">http://slimages.macys.com/is/image/MCY/10007760 </v>
      </c>
    </row>
    <row r="390" spans="1:14" ht="48" x14ac:dyDescent="0.25">
      <c r="A390" s="7" t="s">
        <v>1303</v>
      </c>
      <c r="B390" s="3" t="s">
        <v>1304</v>
      </c>
      <c r="C390" s="4">
        <v>1</v>
      </c>
      <c r="D390" s="5">
        <v>8.1199999999999992</v>
      </c>
      <c r="E390" s="5">
        <v>29.99</v>
      </c>
      <c r="F390" s="4" t="s">
        <v>1305</v>
      </c>
      <c r="G390" s="3" t="s">
        <v>114</v>
      </c>
      <c r="H390" s="7" t="s">
        <v>1306</v>
      </c>
      <c r="I390" s="5">
        <v>4.7366666666666672</v>
      </c>
      <c r="J390" s="3" t="s">
        <v>80</v>
      </c>
      <c r="K390" s="3" t="s">
        <v>629</v>
      </c>
      <c r="L390" s="3" t="s">
        <v>32</v>
      </c>
      <c r="M390" s="3" t="s">
        <v>188</v>
      </c>
      <c r="N390" s="8" t="str">
        <f>HYPERLINK("http://slimages.macys.com/is/image/MCY/12266198 ")</f>
        <v xml:space="preserve">http://slimages.macys.com/is/image/MCY/12266198 </v>
      </c>
    </row>
    <row r="391" spans="1:14" ht="48" x14ac:dyDescent="0.25">
      <c r="A391" s="7" t="s">
        <v>1307</v>
      </c>
      <c r="B391" s="3" t="s">
        <v>1308</v>
      </c>
      <c r="C391" s="4">
        <v>1</v>
      </c>
      <c r="D391" s="5">
        <v>9.1999999999999993</v>
      </c>
      <c r="E391" s="5">
        <v>19.989999999999998</v>
      </c>
      <c r="F391" s="4">
        <v>100074841</v>
      </c>
      <c r="G391" s="3" t="s">
        <v>137</v>
      </c>
      <c r="H391" s="7"/>
      <c r="I391" s="5">
        <v>4.5999999999999996</v>
      </c>
      <c r="J391" s="3" t="s">
        <v>543</v>
      </c>
      <c r="K391" s="3" t="s">
        <v>1309</v>
      </c>
      <c r="L391" s="3" t="s">
        <v>327</v>
      </c>
      <c r="M391" s="3" t="s">
        <v>208</v>
      </c>
      <c r="N391" s="8" t="str">
        <f>HYPERLINK("http://slimages.macys.com/is/image/MCY/16143901 ")</f>
        <v xml:space="preserve">http://slimages.macys.com/is/image/MCY/16143901 </v>
      </c>
    </row>
    <row r="392" spans="1:14" ht="48" x14ac:dyDescent="0.25">
      <c r="A392" s="7" t="s">
        <v>1310</v>
      </c>
      <c r="B392" s="3" t="s">
        <v>1311</v>
      </c>
      <c r="C392" s="4">
        <v>2</v>
      </c>
      <c r="D392" s="5">
        <v>7.83</v>
      </c>
      <c r="E392" s="5">
        <v>15.99</v>
      </c>
      <c r="F392" s="4" t="s">
        <v>1312</v>
      </c>
      <c r="G392" s="3" t="s">
        <v>127</v>
      </c>
      <c r="H392" s="7"/>
      <c r="I392" s="5">
        <v>4.5674999999999999</v>
      </c>
      <c r="J392" s="3" t="s">
        <v>80</v>
      </c>
      <c r="K392" s="3" t="s">
        <v>1258</v>
      </c>
      <c r="L392" s="3" t="s">
        <v>32</v>
      </c>
      <c r="M392" s="3"/>
      <c r="N392" s="8" t="str">
        <f>HYPERLINK("http://slimages.macys.com/is/image/MCY/9661643 ")</f>
        <v xml:space="preserve">http://slimages.macys.com/is/image/MCY/9661643 </v>
      </c>
    </row>
    <row r="393" spans="1:14" ht="48" x14ac:dyDescent="0.25">
      <c r="A393" s="7" t="s">
        <v>1313</v>
      </c>
      <c r="B393" s="3" t="s">
        <v>1314</v>
      </c>
      <c r="C393" s="4">
        <v>2</v>
      </c>
      <c r="D393" s="5">
        <v>7.83</v>
      </c>
      <c r="E393" s="5">
        <v>15.99</v>
      </c>
      <c r="F393" s="4" t="s">
        <v>1315</v>
      </c>
      <c r="G393" s="3" t="s">
        <v>105</v>
      </c>
      <c r="H393" s="7"/>
      <c r="I393" s="5">
        <v>4.5674999999999999</v>
      </c>
      <c r="J393" s="3" t="s">
        <v>80</v>
      </c>
      <c r="K393" s="3" t="s">
        <v>1258</v>
      </c>
      <c r="L393" s="3" t="s">
        <v>32</v>
      </c>
      <c r="M393" s="3"/>
      <c r="N393" s="8" t="str">
        <f>HYPERLINK("http://slimages.macys.com/is/image/MCY/9661643 ")</f>
        <v xml:space="preserve">http://slimages.macys.com/is/image/MCY/9661643 </v>
      </c>
    </row>
    <row r="394" spans="1:14" ht="48" x14ac:dyDescent="0.25">
      <c r="A394" s="7" t="s">
        <v>1316</v>
      </c>
      <c r="B394" s="3" t="s">
        <v>1317</v>
      </c>
      <c r="C394" s="4">
        <v>1</v>
      </c>
      <c r="D394" s="5">
        <v>7.27</v>
      </c>
      <c r="E394" s="5">
        <v>19.989999999999998</v>
      </c>
      <c r="F394" s="4" t="s">
        <v>1318</v>
      </c>
      <c r="G394" s="3" t="s">
        <v>59</v>
      </c>
      <c r="H394" s="7"/>
      <c r="I394" s="5">
        <v>4.4831666666666674</v>
      </c>
      <c r="J394" s="3" t="s">
        <v>380</v>
      </c>
      <c r="K394" s="3" t="s">
        <v>48</v>
      </c>
      <c r="L394" s="3" t="s">
        <v>32</v>
      </c>
      <c r="M394" s="3" t="s">
        <v>1319</v>
      </c>
      <c r="N394" s="8" t="str">
        <f>HYPERLINK("http://slimages.macys.com/is/image/MCY/10044198 ")</f>
        <v xml:space="preserve">http://slimages.macys.com/is/image/MCY/10044198 </v>
      </c>
    </row>
    <row r="395" spans="1:14" ht="48" x14ac:dyDescent="0.25">
      <c r="A395" s="7" t="s">
        <v>1320</v>
      </c>
      <c r="B395" s="3" t="s">
        <v>1321</v>
      </c>
      <c r="C395" s="4">
        <v>1</v>
      </c>
      <c r="D395" s="5">
        <v>7.64</v>
      </c>
      <c r="E395" s="5">
        <v>19.989999999999998</v>
      </c>
      <c r="F395" s="4" t="s">
        <v>1322</v>
      </c>
      <c r="G395" s="3" t="s">
        <v>29</v>
      </c>
      <c r="H395" s="7"/>
      <c r="I395" s="5">
        <v>4.456666666666667</v>
      </c>
      <c r="J395" s="3" t="s">
        <v>80</v>
      </c>
      <c r="K395" s="3" t="s">
        <v>528</v>
      </c>
      <c r="L395" s="3"/>
      <c r="M395" s="3"/>
      <c r="N395" s="8" t="str">
        <f>HYPERLINK("http://slimages.macys.com/is/image/MCY/16699868 ")</f>
        <v xml:space="preserve">http://slimages.macys.com/is/image/MCY/16699868 </v>
      </c>
    </row>
    <row r="396" spans="1:14" ht="48" x14ac:dyDescent="0.25">
      <c r="A396" s="7" t="s">
        <v>1323</v>
      </c>
      <c r="B396" s="3" t="s">
        <v>1324</v>
      </c>
      <c r="C396" s="4">
        <v>1</v>
      </c>
      <c r="D396" s="5">
        <v>7.64</v>
      </c>
      <c r="E396" s="5">
        <v>19.989999999999998</v>
      </c>
      <c r="F396" s="4" t="s">
        <v>1325</v>
      </c>
      <c r="G396" s="3" t="s">
        <v>336</v>
      </c>
      <c r="H396" s="7"/>
      <c r="I396" s="5">
        <v>4.456666666666667</v>
      </c>
      <c r="J396" s="3" t="s">
        <v>80</v>
      </c>
      <c r="K396" s="3" t="s">
        <v>528</v>
      </c>
      <c r="L396" s="3"/>
      <c r="M396" s="3"/>
      <c r="N396" s="8" t="str">
        <f>HYPERLINK("http://slimages.macys.com/is/image/MCY/16699872 ")</f>
        <v xml:space="preserve">http://slimages.macys.com/is/image/MCY/16699872 </v>
      </c>
    </row>
    <row r="397" spans="1:14" ht="48" x14ac:dyDescent="0.25">
      <c r="A397" s="7" t="s">
        <v>1323</v>
      </c>
      <c r="B397" s="3" t="s">
        <v>1324</v>
      </c>
      <c r="C397" s="4">
        <v>1</v>
      </c>
      <c r="D397" s="5">
        <v>7.64</v>
      </c>
      <c r="E397" s="5">
        <v>19.989999999999998</v>
      </c>
      <c r="F397" s="4" t="s">
        <v>1325</v>
      </c>
      <c r="G397" s="3" t="s">
        <v>336</v>
      </c>
      <c r="H397" s="7"/>
      <c r="I397" s="5">
        <v>4.456666666666667</v>
      </c>
      <c r="J397" s="3" t="s">
        <v>80</v>
      </c>
      <c r="K397" s="3" t="s">
        <v>528</v>
      </c>
      <c r="L397" s="3"/>
      <c r="M397" s="3"/>
      <c r="N397" s="8" t="str">
        <f>HYPERLINK("http://slimages.macys.com/is/image/MCY/16699872 ")</f>
        <v xml:space="preserve">http://slimages.macys.com/is/image/MCY/16699872 </v>
      </c>
    </row>
    <row r="398" spans="1:14" ht="48" x14ac:dyDescent="0.25">
      <c r="A398" s="7" t="s">
        <v>1326</v>
      </c>
      <c r="B398" s="3" t="s">
        <v>1327</v>
      </c>
      <c r="C398" s="4">
        <v>1</v>
      </c>
      <c r="D398" s="5">
        <v>7.14</v>
      </c>
      <c r="E398" s="5">
        <v>22.99</v>
      </c>
      <c r="F398" s="4" t="s">
        <v>1328</v>
      </c>
      <c r="G398" s="3" t="s">
        <v>643</v>
      </c>
      <c r="H398" s="7" t="s">
        <v>1150</v>
      </c>
      <c r="I398" s="5">
        <v>4.4030000000000005</v>
      </c>
      <c r="J398" s="3" t="s">
        <v>802</v>
      </c>
      <c r="K398" s="3" t="s">
        <v>1151</v>
      </c>
      <c r="L398" s="3" t="s">
        <v>32</v>
      </c>
      <c r="M398" s="3" t="s">
        <v>303</v>
      </c>
      <c r="N398" s="8" t="str">
        <f>HYPERLINK("http://slimages.macys.com/is/image/MCY/3821086 ")</f>
        <v xml:space="preserve">http://slimages.macys.com/is/image/MCY/3821086 </v>
      </c>
    </row>
    <row r="399" spans="1:14" ht="60" x14ac:dyDescent="0.25">
      <c r="A399" s="7" t="s">
        <v>1329</v>
      </c>
      <c r="B399" s="3" t="s">
        <v>1330</v>
      </c>
      <c r="C399" s="4">
        <v>1</v>
      </c>
      <c r="D399" s="5">
        <v>8.66</v>
      </c>
      <c r="E399" s="5">
        <v>29.99</v>
      </c>
      <c r="F399" s="4" t="s">
        <v>1331</v>
      </c>
      <c r="G399" s="3" t="s">
        <v>180</v>
      </c>
      <c r="H399" s="7"/>
      <c r="I399" s="5">
        <v>4.33</v>
      </c>
      <c r="J399" s="3" t="s">
        <v>100</v>
      </c>
      <c r="K399" s="3" t="s">
        <v>101</v>
      </c>
      <c r="L399" s="3" t="s">
        <v>32</v>
      </c>
      <c r="M399" s="3" t="s">
        <v>1332</v>
      </c>
      <c r="N399" s="8" t="str">
        <f>HYPERLINK("http://slimages.macys.com/is/image/MCY/14607258 ")</f>
        <v xml:space="preserve">http://slimages.macys.com/is/image/MCY/14607258 </v>
      </c>
    </row>
    <row r="400" spans="1:14" ht="48" x14ac:dyDescent="0.25">
      <c r="A400" s="7" t="s">
        <v>1333</v>
      </c>
      <c r="B400" s="3" t="s">
        <v>1334</v>
      </c>
      <c r="C400" s="4">
        <v>2</v>
      </c>
      <c r="D400" s="5">
        <v>7.35</v>
      </c>
      <c r="E400" s="5">
        <v>14.99</v>
      </c>
      <c r="F400" s="4">
        <v>56302</v>
      </c>
      <c r="G400" s="3" t="s">
        <v>127</v>
      </c>
      <c r="H400" s="7"/>
      <c r="I400" s="5">
        <v>4.2874999999999996</v>
      </c>
      <c r="J400" s="3" t="s">
        <v>80</v>
      </c>
      <c r="K400" s="3" t="s">
        <v>1183</v>
      </c>
      <c r="L400" s="3" t="s">
        <v>32</v>
      </c>
      <c r="M400" s="3"/>
      <c r="N400" s="8" t="str">
        <f>HYPERLINK("http://slimages.macys.com/is/image/MCY/9644198 ")</f>
        <v xml:space="preserve">http://slimages.macys.com/is/image/MCY/9644198 </v>
      </c>
    </row>
    <row r="401" spans="1:14" ht="48" x14ac:dyDescent="0.25">
      <c r="A401" s="7" t="s">
        <v>1335</v>
      </c>
      <c r="B401" s="3" t="s">
        <v>1336</v>
      </c>
      <c r="C401" s="4">
        <v>4</v>
      </c>
      <c r="D401" s="5">
        <v>7.25</v>
      </c>
      <c r="E401" s="5">
        <v>14.99</v>
      </c>
      <c r="F401" s="4">
        <v>44053</v>
      </c>
      <c r="G401" s="3" t="s">
        <v>220</v>
      </c>
      <c r="H401" s="7" t="s">
        <v>1077</v>
      </c>
      <c r="I401" s="5">
        <v>4.229166666666667</v>
      </c>
      <c r="J401" s="3" t="s">
        <v>80</v>
      </c>
      <c r="K401" s="3" t="s">
        <v>1183</v>
      </c>
      <c r="L401" s="3" t="s">
        <v>32</v>
      </c>
      <c r="M401" s="3" t="s">
        <v>208</v>
      </c>
      <c r="N401" s="8" t="str">
        <f>HYPERLINK("http://slimages.macys.com/is/image/MCY/10004504 ")</f>
        <v xml:space="preserve">http://slimages.macys.com/is/image/MCY/10004504 </v>
      </c>
    </row>
    <row r="402" spans="1:14" ht="60" x14ac:dyDescent="0.25">
      <c r="A402" s="7" t="s">
        <v>1337</v>
      </c>
      <c r="B402" s="3" t="s">
        <v>1338</v>
      </c>
      <c r="C402" s="4">
        <v>2</v>
      </c>
      <c r="D402" s="5">
        <v>8.39</v>
      </c>
      <c r="E402" s="5">
        <v>29.99</v>
      </c>
      <c r="F402" s="4" t="s">
        <v>1339</v>
      </c>
      <c r="G402" s="3" t="s">
        <v>297</v>
      </c>
      <c r="H402" s="7"/>
      <c r="I402" s="5">
        <v>4.1950000000000003</v>
      </c>
      <c r="J402" s="3" t="s">
        <v>100</v>
      </c>
      <c r="K402" s="3" t="s">
        <v>101</v>
      </c>
      <c r="L402" s="3" t="s">
        <v>327</v>
      </c>
      <c r="M402" s="3" t="s">
        <v>1340</v>
      </c>
      <c r="N402" s="8" t="str">
        <f>HYPERLINK("http://slimages.macys.com/is/image/MCY/11777260 ")</f>
        <v xml:space="preserve">http://slimages.macys.com/is/image/MCY/11777260 </v>
      </c>
    </row>
    <row r="403" spans="1:14" ht="48" x14ac:dyDescent="0.25">
      <c r="A403" s="7" t="s">
        <v>1341</v>
      </c>
      <c r="B403" s="3" t="s">
        <v>1342</v>
      </c>
      <c r="C403" s="4">
        <v>2</v>
      </c>
      <c r="D403" s="5">
        <v>6.8</v>
      </c>
      <c r="E403" s="5">
        <v>14.99</v>
      </c>
      <c r="F403" s="4" t="s">
        <v>1343</v>
      </c>
      <c r="G403" s="3" t="s">
        <v>127</v>
      </c>
      <c r="H403" s="7" t="s">
        <v>1344</v>
      </c>
      <c r="I403" s="5">
        <v>4.1933333333333334</v>
      </c>
      <c r="J403" s="3" t="s">
        <v>380</v>
      </c>
      <c r="K403" s="3" t="s">
        <v>1345</v>
      </c>
      <c r="L403" s="3" t="s">
        <v>32</v>
      </c>
      <c r="M403" s="3" t="s">
        <v>39</v>
      </c>
      <c r="N403" s="8" t="str">
        <f>HYPERLINK("http://slimages.macys.com/is/image/MCY/9830295 ")</f>
        <v xml:space="preserve">http://slimages.macys.com/is/image/MCY/9830295 </v>
      </c>
    </row>
    <row r="404" spans="1:14" ht="48" x14ac:dyDescent="0.25">
      <c r="A404" s="7" t="s">
        <v>1341</v>
      </c>
      <c r="B404" s="3" t="s">
        <v>1342</v>
      </c>
      <c r="C404" s="4">
        <v>2</v>
      </c>
      <c r="D404" s="5">
        <v>6.8</v>
      </c>
      <c r="E404" s="5">
        <v>14.99</v>
      </c>
      <c r="F404" s="4" t="s">
        <v>1343</v>
      </c>
      <c r="G404" s="3" t="s">
        <v>127</v>
      </c>
      <c r="H404" s="7" t="s">
        <v>1344</v>
      </c>
      <c r="I404" s="5">
        <v>4.1933333333333334</v>
      </c>
      <c r="J404" s="3" t="s">
        <v>380</v>
      </c>
      <c r="K404" s="3" t="s">
        <v>1345</v>
      </c>
      <c r="L404" s="3" t="s">
        <v>32</v>
      </c>
      <c r="M404" s="3" t="s">
        <v>39</v>
      </c>
      <c r="N404" s="8" t="str">
        <f>HYPERLINK("http://slimages.macys.com/is/image/MCY/9830295 ")</f>
        <v xml:space="preserve">http://slimages.macys.com/is/image/MCY/9830295 </v>
      </c>
    </row>
    <row r="405" spans="1:14" ht="48" x14ac:dyDescent="0.25">
      <c r="A405" s="7" t="s">
        <v>1346</v>
      </c>
      <c r="B405" s="3" t="s">
        <v>1347</v>
      </c>
      <c r="C405" s="4">
        <v>1</v>
      </c>
      <c r="D405" s="5">
        <v>6.75</v>
      </c>
      <c r="E405" s="5">
        <v>14.99</v>
      </c>
      <c r="F405" s="4">
        <v>1005237700</v>
      </c>
      <c r="G405" s="3" t="s">
        <v>154</v>
      </c>
      <c r="H405" s="7" t="s">
        <v>1348</v>
      </c>
      <c r="I405" s="5">
        <v>4.1625000000000005</v>
      </c>
      <c r="J405" s="3" t="s">
        <v>1053</v>
      </c>
      <c r="K405" s="3" t="s">
        <v>1349</v>
      </c>
      <c r="L405" s="3" t="s">
        <v>118</v>
      </c>
      <c r="M405" s="3" t="s">
        <v>208</v>
      </c>
      <c r="N405" s="8" t="str">
        <f>HYPERLINK("http://slimages.macys.com/is/image/MCY/10625665 ")</f>
        <v xml:space="preserve">http://slimages.macys.com/is/image/MCY/10625665 </v>
      </c>
    </row>
    <row r="406" spans="1:14" ht="48" x14ac:dyDescent="0.25">
      <c r="A406" s="7" t="s">
        <v>1350</v>
      </c>
      <c r="B406" s="3" t="s">
        <v>1351</v>
      </c>
      <c r="C406" s="4">
        <v>1</v>
      </c>
      <c r="D406" s="5">
        <v>6.75</v>
      </c>
      <c r="E406" s="5">
        <v>14.99</v>
      </c>
      <c r="F406" s="4">
        <v>1005240100</v>
      </c>
      <c r="G406" s="3" t="s">
        <v>695</v>
      </c>
      <c r="H406" s="7" t="s">
        <v>1348</v>
      </c>
      <c r="I406" s="5">
        <v>4.1625000000000005</v>
      </c>
      <c r="J406" s="3" t="s">
        <v>1053</v>
      </c>
      <c r="K406" s="3" t="s">
        <v>1349</v>
      </c>
      <c r="L406" s="3" t="s">
        <v>118</v>
      </c>
      <c r="M406" s="3" t="s">
        <v>208</v>
      </c>
      <c r="N406" s="8" t="str">
        <f>HYPERLINK("http://slimages.macys.com/is/image/MCY/10625676 ")</f>
        <v xml:space="preserve">http://slimages.macys.com/is/image/MCY/10625676 </v>
      </c>
    </row>
    <row r="407" spans="1:14" ht="48" x14ac:dyDescent="0.25">
      <c r="A407" s="7" t="s">
        <v>1352</v>
      </c>
      <c r="B407" s="3" t="s">
        <v>1353</v>
      </c>
      <c r="C407" s="4">
        <v>1</v>
      </c>
      <c r="D407" s="5">
        <v>8.27</v>
      </c>
      <c r="E407" s="5">
        <v>49.99</v>
      </c>
      <c r="F407" s="4" t="s">
        <v>1354</v>
      </c>
      <c r="G407" s="3" t="s">
        <v>59</v>
      </c>
      <c r="H407" s="7"/>
      <c r="I407" s="5">
        <v>4.1349999999999998</v>
      </c>
      <c r="J407" s="3" t="s">
        <v>301</v>
      </c>
      <c r="K407" s="3" t="s">
        <v>302</v>
      </c>
      <c r="L407" s="3" t="s">
        <v>32</v>
      </c>
      <c r="M407" s="3" t="s">
        <v>303</v>
      </c>
      <c r="N407" s="8" t="str">
        <f>HYPERLINK("http://slimages.macys.com/is/image/MCY/11283365 ")</f>
        <v xml:space="preserve">http://slimages.macys.com/is/image/MCY/11283365 </v>
      </c>
    </row>
    <row r="408" spans="1:14" ht="48" x14ac:dyDescent="0.25">
      <c r="A408" s="7" t="s">
        <v>1355</v>
      </c>
      <c r="B408" s="3" t="s">
        <v>1356</v>
      </c>
      <c r="C408" s="4">
        <v>1</v>
      </c>
      <c r="D408" s="5">
        <v>8.25</v>
      </c>
      <c r="E408" s="5">
        <v>39.99</v>
      </c>
      <c r="F408" s="4" t="s">
        <v>1357</v>
      </c>
      <c r="G408" s="3" t="s">
        <v>64</v>
      </c>
      <c r="H408" s="7"/>
      <c r="I408" s="5">
        <v>4.125</v>
      </c>
      <c r="J408" s="3" t="s">
        <v>320</v>
      </c>
      <c r="K408" s="3" t="s">
        <v>491</v>
      </c>
      <c r="L408" s="3" t="s">
        <v>32</v>
      </c>
      <c r="M408" s="3" t="s">
        <v>76</v>
      </c>
      <c r="N408" s="8" t="str">
        <f>HYPERLINK("http://slimages.macys.com/is/image/MCY/8899099 ")</f>
        <v xml:space="preserve">http://slimages.macys.com/is/image/MCY/8899099 </v>
      </c>
    </row>
    <row r="409" spans="1:14" ht="48" x14ac:dyDescent="0.25">
      <c r="A409" s="7" t="s">
        <v>1358</v>
      </c>
      <c r="B409" s="3" t="s">
        <v>1359</v>
      </c>
      <c r="C409" s="4">
        <v>2</v>
      </c>
      <c r="D409" s="5">
        <v>8.18</v>
      </c>
      <c r="E409" s="5">
        <v>39.99</v>
      </c>
      <c r="F409" s="4" t="s">
        <v>1360</v>
      </c>
      <c r="G409" s="3" t="s">
        <v>29</v>
      </c>
      <c r="H409" s="7"/>
      <c r="I409" s="5">
        <v>4.0900000000000007</v>
      </c>
      <c r="J409" s="3" t="s">
        <v>320</v>
      </c>
      <c r="K409" s="3" t="s">
        <v>491</v>
      </c>
      <c r="L409" s="3" t="s">
        <v>32</v>
      </c>
      <c r="M409" s="3"/>
      <c r="N409" s="8" t="str">
        <f>HYPERLINK("http://slimages.macys.com/is/image/MCY/11640178 ")</f>
        <v xml:space="preserve">http://slimages.macys.com/is/image/MCY/11640178 </v>
      </c>
    </row>
    <row r="410" spans="1:14" ht="48" x14ac:dyDescent="0.25">
      <c r="A410" s="7" t="s">
        <v>1361</v>
      </c>
      <c r="B410" s="3" t="s">
        <v>1362</v>
      </c>
      <c r="C410" s="4">
        <v>2</v>
      </c>
      <c r="D410" s="5">
        <v>8.18</v>
      </c>
      <c r="E410" s="5">
        <v>39.99</v>
      </c>
      <c r="F410" s="4" t="s">
        <v>1363</v>
      </c>
      <c r="G410" s="3" t="s">
        <v>1364</v>
      </c>
      <c r="H410" s="7"/>
      <c r="I410" s="5">
        <v>4.0900000000000007</v>
      </c>
      <c r="J410" s="3" t="s">
        <v>320</v>
      </c>
      <c r="K410" s="3" t="s">
        <v>491</v>
      </c>
      <c r="L410" s="3" t="s">
        <v>327</v>
      </c>
      <c r="M410" s="3" t="s">
        <v>303</v>
      </c>
      <c r="N410" s="8" t="str">
        <f>HYPERLINK("http://slimages.macys.com/is/image/MCY/8096683 ")</f>
        <v xml:space="preserve">http://slimages.macys.com/is/image/MCY/8096683 </v>
      </c>
    </row>
    <row r="411" spans="1:14" ht="48" x14ac:dyDescent="0.25">
      <c r="A411" s="7" t="s">
        <v>1358</v>
      </c>
      <c r="B411" s="3" t="s">
        <v>1359</v>
      </c>
      <c r="C411" s="4">
        <v>1</v>
      </c>
      <c r="D411" s="5">
        <v>8.18</v>
      </c>
      <c r="E411" s="5">
        <v>39.99</v>
      </c>
      <c r="F411" s="4" t="s">
        <v>1360</v>
      </c>
      <c r="G411" s="3" t="s">
        <v>29</v>
      </c>
      <c r="H411" s="7"/>
      <c r="I411" s="5">
        <v>4.0900000000000007</v>
      </c>
      <c r="J411" s="3" t="s">
        <v>320</v>
      </c>
      <c r="K411" s="3" t="s">
        <v>491</v>
      </c>
      <c r="L411" s="3" t="s">
        <v>32</v>
      </c>
      <c r="M411" s="3"/>
      <c r="N411" s="8" t="str">
        <f>HYPERLINK("http://slimages.macys.com/is/image/MCY/11640178 ")</f>
        <v xml:space="preserve">http://slimages.macys.com/is/image/MCY/11640178 </v>
      </c>
    </row>
    <row r="412" spans="1:14" ht="60" x14ac:dyDescent="0.25">
      <c r="A412" s="7" t="s">
        <v>1365</v>
      </c>
      <c r="B412" s="3" t="s">
        <v>1366</v>
      </c>
      <c r="C412" s="4">
        <v>8</v>
      </c>
      <c r="D412" s="5">
        <v>6.98</v>
      </c>
      <c r="E412" s="5">
        <v>19.989999999999998</v>
      </c>
      <c r="F412" s="4" t="s">
        <v>1367</v>
      </c>
      <c r="G412" s="3" t="s">
        <v>114</v>
      </c>
      <c r="H412" s="7"/>
      <c r="I412" s="5">
        <v>4.0716666666666672</v>
      </c>
      <c r="J412" s="3" t="s">
        <v>80</v>
      </c>
      <c r="K412" s="3" t="s">
        <v>1010</v>
      </c>
      <c r="L412" s="3" t="s">
        <v>32</v>
      </c>
      <c r="M412" s="3" t="s">
        <v>208</v>
      </c>
      <c r="N412" s="8" t="str">
        <f>HYPERLINK("http://slimages.macys.com/is/image/MCY/3135987 ")</f>
        <v xml:space="preserve">http://slimages.macys.com/is/image/MCY/3135987 </v>
      </c>
    </row>
    <row r="413" spans="1:14" ht="60" x14ac:dyDescent="0.25">
      <c r="A413" s="7" t="s">
        <v>1368</v>
      </c>
      <c r="B413" s="3" t="s">
        <v>1369</v>
      </c>
      <c r="C413" s="4">
        <v>1</v>
      </c>
      <c r="D413" s="5">
        <v>8.1</v>
      </c>
      <c r="E413" s="5">
        <v>17.989999999999998</v>
      </c>
      <c r="F413" s="4" t="s">
        <v>1370</v>
      </c>
      <c r="G413" s="3" t="s">
        <v>59</v>
      </c>
      <c r="H413" s="7"/>
      <c r="I413" s="5">
        <v>4.0500000000000007</v>
      </c>
      <c r="J413" s="3" t="s">
        <v>47</v>
      </c>
      <c r="K413" s="3" t="s">
        <v>48</v>
      </c>
      <c r="L413" s="3" t="s">
        <v>32</v>
      </c>
      <c r="M413" s="3" t="s">
        <v>1371</v>
      </c>
      <c r="N413" s="8" t="str">
        <f>HYPERLINK("http://slimages.macys.com/is/image/MCY/10073855 ")</f>
        <v xml:space="preserve">http://slimages.macys.com/is/image/MCY/10073855 </v>
      </c>
    </row>
    <row r="414" spans="1:14" ht="48" x14ac:dyDescent="0.25">
      <c r="A414" s="7" t="s">
        <v>1372</v>
      </c>
      <c r="B414" s="3" t="s">
        <v>1373</v>
      </c>
      <c r="C414" s="4">
        <v>1</v>
      </c>
      <c r="D414" s="5">
        <v>6.45</v>
      </c>
      <c r="E414" s="5">
        <v>16.989999999999998</v>
      </c>
      <c r="F414" s="4">
        <v>11773</v>
      </c>
      <c r="G414" s="3" t="s">
        <v>205</v>
      </c>
      <c r="H414" s="7"/>
      <c r="I414" s="5">
        <v>3.9775</v>
      </c>
      <c r="J414" s="3" t="s">
        <v>380</v>
      </c>
      <c r="K414" s="3" t="s">
        <v>597</v>
      </c>
      <c r="L414" s="3" t="s">
        <v>32</v>
      </c>
      <c r="M414" s="3" t="s">
        <v>1374</v>
      </c>
      <c r="N414" s="8" t="str">
        <f>HYPERLINK("http://slimages.macys.com/is/image/MCY/943178 ")</f>
        <v xml:space="preserve">http://slimages.macys.com/is/image/MCY/943178 </v>
      </c>
    </row>
    <row r="415" spans="1:14" ht="48" x14ac:dyDescent="0.25">
      <c r="A415" s="7" t="s">
        <v>1375</v>
      </c>
      <c r="B415" s="3" t="s">
        <v>1376</v>
      </c>
      <c r="C415" s="4">
        <v>2</v>
      </c>
      <c r="D415" s="5">
        <v>7.85</v>
      </c>
      <c r="E415" s="5">
        <v>19.989999999999998</v>
      </c>
      <c r="F415" s="4" t="s">
        <v>1377</v>
      </c>
      <c r="G415" s="3"/>
      <c r="H415" s="7"/>
      <c r="I415" s="5">
        <v>3.9250000000000003</v>
      </c>
      <c r="J415" s="3" t="s">
        <v>47</v>
      </c>
      <c r="K415" s="3" t="s">
        <v>1378</v>
      </c>
      <c r="L415" s="3" t="s">
        <v>32</v>
      </c>
      <c r="M415" s="3" t="s">
        <v>208</v>
      </c>
      <c r="N415" s="8" t="str">
        <f>HYPERLINK("http://slimages.macys.com/is/image/MCY/15575450 ")</f>
        <v xml:space="preserve">http://slimages.macys.com/is/image/MCY/15575450 </v>
      </c>
    </row>
    <row r="416" spans="1:14" ht="60" x14ac:dyDescent="0.25">
      <c r="A416" s="7" t="s">
        <v>1379</v>
      </c>
      <c r="B416" s="3" t="s">
        <v>1380</v>
      </c>
      <c r="C416" s="4">
        <v>1</v>
      </c>
      <c r="D416" s="5">
        <v>7.82</v>
      </c>
      <c r="E416" s="5">
        <v>29.99</v>
      </c>
      <c r="F416" s="4" t="s">
        <v>1381</v>
      </c>
      <c r="G416" s="3" t="s">
        <v>476</v>
      </c>
      <c r="H416" s="7"/>
      <c r="I416" s="5">
        <v>3.91</v>
      </c>
      <c r="J416" s="3" t="s">
        <v>100</v>
      </c>
      <c r="K416" s="3" t="s">
        <v>101</v>
      </c>
      <c r="L416" s="3" t="s">
        <v>32</v>
      </c>
      <c r="M416" s="3" t="s">
        <v>1332</v>
      </c>
      <c r="N416" s="8" t="str">
        <f>HYPERLINK("http://slimages.macys.com/is/image/MCY/14607258 ")</f>
        <v xml:space="preserve">http://slimages.macys.com/is/image/MCY/14607258 </v>
      </c>
    </row>
    <row r="417" spans="1:14" ht="60" x14ac:dyDescent="0.25">
      <c r="A417" s="7" t="s">
        <v>1379</v>
      </c>
      <c r="B417" s="3" t="s">
        <v>1380</v>
      </c>
      <c r="C417" s="4">
        <v>1</v>
      </c>
      <c r="D417" s="5">
        <v>7.82</v>
      </c>
      <c r="E417" s="5">
        <v>29.99</v>
      </c>
      <c r="F417" s="4" t="s">
        <v>1381</v>
      </c>
      <c r="G417" s="3" t="s">
        <v>476</v>
      </c>
      <c r="H417" s="7"/>
      <c r="I417" s="5">
        <v>3.91</v>
      </c>
      <c r="J417" s="3" t="s">
        <v>100</v>
      </c>
      <c r="K417" s="3" t="s">
        <v>101</v>
      </c>
      <c r="L417" s="3" t="s">
        <v>32</v>
      </c>
      <c r="M417" s="3" t="s">
        <v>1332</v>
      </c>
      <c r="N417" s="8" t="str">
        <f>HYPERLINK("http://slimages.macys.com/is/image/MCY/14607258 ")</f>
        <v xml:space="preserve">http://slimages.macys.com/is/image/MCY/14607258 </v>
      </c>
    </row>
    <row r="418" spans="1:14" ht="60" x14ac:dyDescent="0.25">
      <c r="A418" s="7" t="s">
        <v>1382</v>
      </c>
      <c r="B418" s="3" t="s">
        <v>1383</v>
      </c>
      <c r="C418" s="4">
        <v>1</v>
      </c>
      <c r="D418" s="5">
        <v>7.79</v>
      </c>
      <c r="E418" s="5">
        <v>34.99</v>
      </c>
      <c r="F418" s="4" t="s">
        <v>1384</v>
      </c>
      <c r="G418" s="3" t="s">
        <v>1385</v>
      </c>
      <c r="H418" s="7"/>
      <c r="I418" s="5">
        <v>3.8950000000000005</v>
      </c>
      <c r="J418" s="3" t="s">
        <v>100</v>
      </c>
      <c r="K418" s="3" t="s">
        <v>101</v>
      </c>
      <c r="L418" s="3"/>
      <c r="M418" s="3"/>
      <c r="N418" s="8" t="str">
        <f>HYPERLINK("http://slimages.macys.com/is/image/MCY/16537012 ")</f>
        <v xml:space="preserve">http://slimages.macys.com/is/image/MCY/16537012 </v>
      </c>
    </row>
    <row r="419" spans="1:14" ht="60" x14ac:dyDescent="0.25">
      <c r="A419" s="7" t="s">
        <v>1382</v>
      </c>
      <c r="B419" s="3" t="s">
        <v>1383</v>
      </c>
      <c r="C419" s="4">
        <v>5</v>
      </c>
      <c r="D419" s="5">
        <v>7.79</v>
      </c>
      <c r="E419" s="5">
        <v>34.99</v>
      </c>
      <c r="F419" s="4" t="s">
        <v>1384</v>
      </c>
      <c r="G419" s="3" t="s">
        <v>1385</v>
      </c>
      <c r="H419" s="7"/>
      <c r="I419" s="5">
        <v>3.8950000000000005</v>
      </c>
      <c r="J419" s="3" t="s">
        <v>100</v>
      </c>
      <c r="K419" s="3" t="s">
        <v>101</v>
      </c>
      <c r="L419" s="3"/>
      <c r="M419" s="3"/>
      <c r="N419" s="8" t="str">
        <f>HYPERLINK("http://slimages.macys.com/is/image/MCY/16537012 ")</f>
        <v xml:space="preserve">http://slimages.macys.com/is/image/MCY/16537012 </v>
      </c>
    </row>
    <row r="420" spans="1:14" ht="48" x14ac:dyDescent="0.25">
      <c r="A420" s="7" t="s">
        <v>1386</v>
      </c>
      <c r="B420" s="3" t="s">
        <v>1387</v>
      </c>
      <c r="C420" s="4">
        <v>1</v>
      </c>
      <c r="D420" s="5">
        <v>6.59</v>
      </c>
      <c r="E420" s="5">
        <v>14.99</v>
      </c>
      <c r="F420" s="4" t="s">
        <v>1388</v>
      </c>
      <c r="G420" s="3" t="s">
        <v>220</v>
      </c>
      <c r="H420" s="7" t="s">
        <v>1389</v>
      </c>
      <c r="I420" s="5">
        <v>3.8441666666666672</v>
      </c>
      <c r="J420" s="3" t="s">
        <v>80</v>
      </c>
      <c r="K420" s="3" t="s">
        <v>1078</v>
      </c>
      <c r="L420" s="3" t="s">
        <v>32</v>
      </c>
      <c r="M420" s="3" t="s">
        <v>303</v>
      </c>
      <c r="N420" s="8" t="str">
        <f>HYPERLINK("http://slimages.macys.com/is/image/MCY/343290 ")</f>
        <v xml:space="preserve">http://slimages.macys.com/is/image/MCY/343290 </v>
      </c>
    </row>
    <row r="421" spans="1:14" ht="60" x14ac:dyDescent="0.25">
      <c r="A421" s="7" t="s">
        <v>1390</v>
      </c>
      <c r="B421" s="3" t="s">
        <v>1391</v>
      </c>
      <c r="C421" s="4">
        <v>1</v>
      </c>
      <c r="D421" s="5">
        <v>7.65</v>
      </c>
      <c r="E421" s="5">
        <v>22.99</v>
      </c>
      <c r="F421" s="4" t="s">
        <v>1392</v>
      </c>
      <c r="G421" s="3" t="s">
        <v>114</v>
      </c>
      <c r="H421" s="7"/>
      <c r="I421" s="5">
        <v>3.8250000000000002</v>
      </c>
      <c r="J421" s="3" t="s">
        <v>47</v>
      </c>
      <c r="K421" s="3" t="s">
        <v>1393</v>
      </c>
      <c r="L421" s="3" t="s">
        <v>32</v>
      </c>
      <c r="M421" s="3" t="s">
        <v>208</v>
      </c>
      <c r="N421" s="8" t="str">
        <f>HYPERLINK("http://slimages.macys.com/is/image/MCY/10181913 ")</f>
        <v xml:space="preserve">http://slimages.macys.com/is/image/MCY/10181913 </v>
      </c>
    </row>
    <row r="422" spans="1:14" ht="48" x14ac:dyDescent="0.25">
      <c r="A422" s="7" t="s">
        <v>1394</v>
      </c>
      <c r="B422" s="3" t="s">
        <v>1395</v>
      </c>
      <c r="C422" s="4">
        <v>6</v>
      </c>
      <c r="D422" s="5">
        <v>6.45</v>
      </c>
      <c r="E422" s="5">
        <v>17.989999999999998</v>
      </c>
      <c r="F422" s="4" t="s">
        <v>1396</v>
      </c>
      <c r="G422" s="3" t="s">
        <v>137</v>
      </c>
      <c r="H422" s="7"/>
      <c r="I422" s="5">
        <v>3.7624999999999997</v>
      </c>
      <c r="J422" s="3" t="s">
        <v>80</v>
      </c>
      <c r="K422" s="3" t="s">
        <v>389</v>
      </c>
      <c r="L422" s="3" t="s">
        <v>32</v>
      </c>
      <c r="M422" s="3" t="s">
        <v>55</v>
      </c>
      <c r="N422" s="8" t="str">
        <f>HYPERLINK("http://slimages.macys.com/is/image/MCY/913783 ")</f>
        <v xml:space="preserve">http://slimages.macys.com/is/image/MCY/913783 </v>
      </c>
    </row>
    <row r="423" spans="1:14" ht="48" x14ac:dyDescent="0.25">
      <c r="A423" s="7" t="s">
        <v>1397</v>
      </c>
      <c r="B423" s="3" t="s">
        <v>1398</v>
      </c>
      <c r="C423" s="4">
        <v>1</v>
      </c>
      <c r="D423" s="5">
        <v>6.1</v>
      </c>
      <c r="E423" s="5">
        <v>14.99</v>
      </c>
      <c r="F423" s="4" t="s">
        <v>1399</v>
      </c>
      <c r="G423" s="3" t="s">
        <v>1194</v>
      </c>
      <c r="H423" s="7" t="s">
        <v>655</v>
      </c>
      <c r="I423" s="5">
        <v>3.7616666666666672</v>
      </c>
      <c r="J423" s="3" t="s">
        <v>380</v>
      </c>
      <c r="K423" s="3" t="s">
        <v>1195</v>
      </c>
      <c r="L423" s="3"/>
      <c r="M423" s="3"/>
      <c r="N423" s="8" t="str">
        <f>HYPERLINK("http://slimages.macys.com/is/image/MCY/17719639 ")</f>
        <v xml:space="preserve">http://slimages.macys.com/is/image/MCY/17719639 </v>
      </c>
    </row>
    <row r="424" spans="1:14" ht="48" x14ac:dyDescent="0.25">
      <c r="A424" s="7" t="s">
        <v>1397</v>
      </c>
      <c r="B424" s="3" t="s">
        <v>1398</v>
      </c>
      <c r="C424" s="4">
        <v>1</v>
      </c>
      <c r="D424" s="5">
        <v>6.1</v>
      </c>
      <c r="E424" s="5">
        <v>14.99</v>
      </c>
      <c r="F424" s="4" t="s">
        <v>1399</v>
      </c>
      <c r="G424" s="3" t="s">
        <v>1194</v>
      </c>
      <c r="H424" s="7" t="s">
        <v>655</v>
      </c>
      <c r="I424" s="5">
        <v>3.7616666666666672</v>
      </c>
      <c r="J424" s="3" t="s">
        <v>380</v>
      </c>
      <c r="K424" s="3" t="s">
        <v>1195</v>
      </c>
      <c r="L424" s="3"/>
      <c r="M424" s="3"/>
      <c r="N424" s="8" t="str">
        <f>HYPERLINK("http://slimages.macys.com/is/image/MCY/17719639 ")</f>
        <v xml:space="preserve">http://slimages.macys.com/is/image/MCY/17719639 </v>
      </c>
    </row>
    <row r="425" spans="1:14" ht="48" x14ac:dyDescent="0.25">
      <c r="A425" s="7" t="s">
        <v>1400</v>
      </c>
      <c r="B425" s="3" t="s">
        <v>1401</v>
      </c>
      <c r="C425" s="4">
        <v>1</v>
      </c>
      <c r="D425" s="5">
        <v>6.06</v>
      </c>
      <c r="E425" s="5">
        <v>15.99</v>
      </c>
      <c r="F425" s="4" t="s">
        <v>1402</v>
      </c>
      <c r="G425" s="3"/>
      <c r="H425" s="7" t="s">
        <v>1403</v>
      </c>
      <c r="I425" s="5">
        <v>3.7370000000000001</v>
      </c>
      <c r="J425" s="3" t="s">
        <v>380</v>
      </c>
      <c r="K425" s="3" t="s">
        <v>1113</v>
      </c>
      <c r="L425" s="3" t="s">
        <v>32</v>
      </c>
      <c r="M425" s="3" t="s">
        <v>1404</v>
      </c>
      <c r="N425" s="8" t="str">
        <f>HYPERLINK("http://slimages.macys.com/is/image/MCY/14827060 ")</f>
        <v xml:space="preserve">http://slimages.macys.com/is/image/MCY/14827060 </v>
      </c>
    </row>
    <row r="426" spans="1:14" ht="60" x14ac:dyDescent="0.25">
      <c r="A426" s="7" t="s">
        <v>1405</v>
      </c>
      <c r="B426" s="3" t="s">
        <v>1406</v>
      </c>
      <c r="C426" s="4">
        <v>1</v>
      </c>
      <c r="D426" s="5">
        <v>6.37</v>
      </c>
      <c r="E426" s="5">
        <v>17.989999999999998</v>
      </c>
      <c r="F426" s="4" t="s">
        <v>1407</v>
      </c>
      <c r="G426" s="3" t="s">
        <v>29</v>
      </c>
      <c r="H426" s="7"/>
      <c r="I426" s="5">
        <v>3.7158333333333333</v>
      </c>
      <c r="J426" s="3" t="s">
        <v>80</v>
      </c>
      <c r="K426" s="3" t="s">
        <v>1010</v>
      </c>
      <c r="L426" s="3" t="s">
        <v>32</v>
      </c>
      <c r="M426" s="3" t="s">
        <v>208</v>
      </c>
      <c r="N426" s="8" t="str">
        <f>HYPERLINK("http://slimages.macys.com/is/image/MCY/935272 ")</f>
        <v xml:space="preserve">http://slimages.macys.com/is/image/MCY/935272 </v>
      </c>
    </row>
    <row r="427" spans="1:14" ht="48" x14ac:dyDescent="0.25">
      <c r="A427" s="7" t="s">
        <v>1408</v>
      </c>
      <c r="B427" s="3" t="s">
        <v>1409</v>
      </c>
      <c r="C427" s="4">
        <v>8</v>
      </c>
      <c r="D427" s="5">
        <v>6.16</v>
      </c>
      <c r="E427" s="5">
        <v>14.99</v>
      </c>
      <c r="F427" s="4" t="s">
        <v>1410</v>
      </c>
      <c r="G427" s="3" t="s">
        <v>122</v>
      </c>
      <c r="H427" s="7" t="s">
        <v>285</v>
      </c>
      <c r="I427" s="5">
        <v>3.5933333333333337</v>
      </c>
      <c r="J427" s="3" t="s">
        <v>80</v>
      </c>
      <c r="K427" s="3" t="s">
        <v>1224</v>
      </c>
      <c r="L427" s="3"/>
      <c r="M427" s="3"/>
      <c r="N427" s="8" t="str">
        <f>HYPERLINK("http://slimages.macys.com/is/image/MCY/17620637 ")</f>
        <v xml:space="preserve">http://slimages.macys.com/is/image/MCY/17620637 </v>
      </c>
    </row>
    <row r="428" spans="1:14" ht="48" x14ac:dyDescent="0.25">
      <c r="A428" s="7" t="s">
        <v>1408</v>
      </c>
      <c r="B428" s="3" t="s">
        <v>1409</v>
      </c>
      <c r="C428" s="4">
        <v>2</v>
      </c>
      <c r="D428" s="5">
        <v>6.16</v>
      </c>
      <c r="E428" s="5">
        <v>14.99</v>
      </c>
      <c r="F428" s="4" t="s">
        <v>1410</v>
      </c>
      <c r="G428" s="3" t="s">
        <v>122</v>
      </c>
      <c r="H428" s="7" t="s">
        <v>285</v>
      </c>
      <c r="I428" s="5">
        <v>3.5933333333333337</v>
      </c>
      <c r="J428" s="3" t="s">
        <v>80</v>
      </c>
      <c r="K428" s="3" t="s">
        <v>1224</v>
      </c>
      <c r="L428" s="3"/>
      <c r="M428" s="3"/>
      <c r="N428" s="8" t="str">
        <f>HYPERLINK("http://slimages.macys.com/is/image/MCY/17620637 ")</f>
        <v xml:space="preserve">http://slimages.macys.com/is/image/MCY/17620637 </v>
      </c>
    </row>
    <row r="429" spans="1:14" ht="48" x14ac:dyDescent="0.25">
      <c r="A429" s="7" t="s">
        <v>1408</v>
      </c>
      <c r="B429" s="3" t="s">
        <v>1409</v>
      </c>
      <c r="C429" s="4">
        <v>10</v>
      </c>
      <c r="D429" s="5">
        <v>6.16</v>
      </c>
      <c r="E429" s="5">
        <v>14.99</v>
      </c>
      <c r="F429" s="4" t="s">
        <v>1410</v>
      </c>
      <c r="G429" s="3" t="s">
        <v>122</v>
      </c>
      <c r="H429" s="7" t="s">
        <v>285</v>
      </c>
      <c r="I429" s="5">
        <v>3.5933333333333337</v>
      </c>
      <c r="J429" s="3" t="s">
        <v>80</v>
      </c>
      <c r="K429" s="3" t="s">
        <v>1224</v>
      </c>
      <c r="L429" s="3"/>
      <c r="M429" s="3"/>
      <c r="N429" s="8" t="str">
        <f>HYPERLINK("http://slimages.macys.com/is/image/MCY/17620637 ")</f>
        <v xml:space="preserve">http://slimages.macys.com/is/image/MCY/17620637 </v>
      </c>
    </row>
    <row r="430" spans="1:14" ht="48" x14ac:dyDescent="0.25">
      <c r="A430" s="7" t="s">
        <v>1408</v>
      </c>
      <c r="B430" s="3" t="s">
        <v>1409</v>
      </c>
      <c r="C430" s="4">
        <v>12</v>
      </c>
      <c r="D430" s="5">
        <v>6.16</v>
      </c>
      <c r="E430" s="5">
        <v>14.99</v>
      </c>
      <c r="F430" s="4" t="s">
        <v>1410</v>
      </c>
      <c r="G430" s="3" t="s">
        <v>122</v>
      </c>
      <c r="H430" s="7" t="s">
        <v>285</v>
      </c>
      <c r="I430" s="5">
        <v>3.5933333333333337</v>
      </c>
      <c r="J430" s="3" t="s">
        <v>80</v>
      </c>
      <c r="K430" s="3" t="s">
        <v>1224</v>
      </c>
      <c r="L430" s="3"/>
      <c r="M430" s="3"/>
      <c r="N430" s="8" t="str">
        <f>HYPERLINK("http://slimages.macys.com/is/image/MCY/17620637 ")</f>
        <v xml:space="preserve">http://slimages.macys.com/is/image/MCY/17620637 </v>
      </c>
    </row>
    <row r="431" spans="1:14" ht="48" x14ac:dyDescent="0.25">
      <c r="A431" s="7" t="s">
        <v>1408</v>
      </c>
      <c r="B431" s="3" t="s">
        <v>1409</v>
      </c>
      <c r="C431" s="4">
        <v>8</v>
      </c>
      <c r="D431" s="5">
        <v>6.16</v>
      </c>
      <c r="E431" s="5">
        <v>14.99</v>
      </c>
      <c r="F431" s="4" t="s">
        <v>1410</v>
      </c>
      <c r="G431" s="3" t="s">
        <v>122</v>
      </c>
      <c r="H431" s="7" t="s">
        <v>285</v>
      </c>
      <c r="I431" s="5">
        <v>3.5933333333333337</v>
      </c>
      <c r="J431" s="3" t="s">
        <v>80</v>
      </c>
      <c r="K431" s="3" t="s">
        <v>1224</v>
      </c>
      <c r="L431" s="3"/>
      <c r="M431" s="3"/>
      <c r="N431" s="8" t="str">
        <f>HYPERLINK("http://slimages.macys.com/is/image/MCY/17620637 ")</f>
        <v xml:space="preserve">http://slimages.macys.com/is/image/MCY/17620637 </v>
      </c>
    </row>
    <row r="432" spans="1:14" ht="48" x14ac:dyDescent="0.25">
      <c r="A432" s="7" t="s">
        <v>1411</v>
      </c>
      <c r="B432" s="3" t="s">
        <v>1412</v>
      </c>
      <c r="C432" s="4">
        <v>2</v>
      </c>
      <c r="D432" s="5">
        <v>6.15</v>
      </c>
      <c r="E432" s="5">
        <v>22.99</v>
      </c>
      <c r="F432" s="4" t="s">
        <v>1413</v>
      </c>
      <c r="G432" s="3" t="s">
        <v>114</v>
      </c>
      <c r="H432" s="7"/>
      <c r="I432" s="5">
        <v>3.5874999999999999</v>
      </c>
      <c r="J432" s="3" t="s">
        <v>80</v>
      </c>
      <c r="K432" s="3" t="s">
        <v>629</v>
      </c>
      <c r="L432" s="3" t="s">
        <v>32</v>
      </c>
      <c r="M432" s="3" t="s">
        <v>55</v>
      </c>
      <c r="N432" s="8" t="str">
        <f>HYPERLINK("http://slimages.macys.com/is/image/MCY/15863002 ")</f>
        <v xml:space="preserve">http://slimages.macys.com/is/image/MCY/15863002 </v>
      </c>
    </row>
    <row r="433" spans="1:14" ht="48" x14ac:dyDescent="0.25">
      <c r="A433" s="7" t="s">
        <v>1414</v>
      </c>
      <c r="B433" s="3" t="s">
        <v>1415</v>
      </c>
      <c r="C433" s="4">
        <v>1</v>
      </c>
      <c r="D433" s="5">
        <v>6.08</v>
      </c>
      <c r="E433" s="5">
        <v>14.99</v>
      </c>
      <c r="F433" s="4" t="s">
        <v>1416</v>
      </c>
      <c r="G433" s="3" t="s">
        <v>220</v>
      </c>
      <c r="H433" s="7" t="s">
        <v>1417</v>
      </c>
      <c r="I433" s="5">
        <v>3.5466666666666669</v>
      </c>
      <c r="J433" s="3" t="s">
        <v>80</v>
      </c>
      <c r="K433" s="3" t="s">
        <v>1078</v>
      </c>
      <c r="L433" s="3" t="s">
        <v>32</v>
      </c>
      <c r="M433" s="3" t="s">
        <v>303</v>
      </c>
      <c r="N433" s="8" t="str">
        <f>HYPERLINK("http://slimages.macys.com/is/image/MCY/343290 ")</f>
        <v xml:space="preserve">http://slimages.macys.com/is/image/MCY/343290 </v>
      </c>
    </row>
    <row r="434" spans="1:14" ht="48" x14ac:dyDescent="0.25">
      <c r="A434" s="7" t="s">
        <v>1418</v>
      </c>
      <c r="B434" s="3" t="s">
        <v>1419</v>
      </c>
      <c r="C434" s="4">
        <v>1</v>
      </c>
      <c r="D434" s="5">
        <v>5.75</v>
      </c>
      <c r="E434" s="5">
        <v>12.99</v>
      </c>
      <c r="F434" s="4">
        <v>753165</v>
      </c>
      <c r="G434" s="3" t="s">
        <v>332</v>
      </c>
      <c r="H434" s="7"/>
      <c r="I434" s="5">
        <v>3.5458333333333334</v>
      </c>
      <c r="J434" s="3" t="s">
        <v>380</v>
      </c>
      <c r="K434" s="3" t="s">
        <v>1014</v>
      </c>
      <c r="L434" s="3" t="s">
        <v>32</v>
      </c>
      <c r="M434" s="3" t="s">
        <v>1420</v>
      </c>
      <c r="N434" s="8" t="str">
        <f>HYPERLINK("http://slimages.macys.com/is/image/MCY/11677920 ")</f>
        <v xml:space="preserve">http://slimages.macys.com/is/image/MCY/11677920 </v>
      </c>
    </row>
    <row r="435" spans="1:14" ht="48" x14ac:dyDescent="0.25">
      <c r="A435" s="7" t="s">
        <v>1421</v>
      </c>
      <c r="B435" s="3" t="s">
        <v>1422</v>
      </c>
      <c r="C435" s="4">
        <v>3</v>
      </c>
      <c r="D435" s="5">
        <v>5.71</v>
      </c>
      <c r="E435" s="5">
        <v>24.99</v>
      </c>
      <c r="F435" s="4">
        <v>58275</v>
      </c>
      <c r="G435" s="3"/>
      <c r="H435" s="7" t="s">
        <v>1403</v>
      </c>
      <c r="I435" s="5">
        <v>3.5211666666666663</v>
      </c>
      <c r="J435" s="3" t="s">
        <v>380</v>
      </c>
      <c r="K435" s="3" t="s">
        <v>1113</v>
      </c>
      <c r="L435" s="3" t="s">
        <v>32</v>
      </c>
      <c r="M435" s="3" t="s">
        <v>1423</v>
      </c>
      <c r="N435" s="8" t="str">
        <f>HYPERLINK("http://slimages.macys.com/is/image/MCY/9773358 ")</f>
        <v xml:space="preserve">http://slimages.macys.com/is/image/MCY/9773358 </v>
      </c>
    </row>
    <row r="436" spans="1:14" ht="48" x14ac:dyDescent="0.25">
      <c r="A436" s="7" t="s">
        <v>1424</v>
      </c>
      <c r="B436" s="3" t="s">
        <v>1425</v>
      </c>
      <c r="C436" s="4">
        <v>2</v>
      </c>
      <c r="D436" s="5">
        <v>6</v>
      </c>
      <c r="E436" s="5">
        <v>14.99</v>
      </c>
      <c r="F436" s="4" t="s">
        <v>1426</v>
      </c>
      <c r="G436" s="3" t="s">
        <v>114</v>
      </c>
      <c r="H436" s="7"/>
      <c r="I436" s="5">
        <v>3.5000000000000004</v>
      </c>
      <c r="J436" s="3" t="s">
        <v>116</v>
      </c>
      <c r="K436" s="3" t="s">
        <v>1228</v>
      </c>
      <c r="L436" s="3" t="s">
        <v>32</v>
      </c>
      <c r="M436" s="3" t="s">
        <v>1427</v>
      </c>
      <c r="N436" s="8" t="str">
        <f>HYPERLINK("http://slimages.macys.com/is/image/MCY/15720072 ")</f>
        <v xml:space="preserve">http://slimages.macys.com/is/image/MCY/15720072 </v>
      </c>
    </row>
    <row r="437" spans="1:14" ht="48" x14ac:dyDescent="0.25">
      <c r="A437" s="7" t="s">
        <v>1428</v>
      </c>
      <c r="B437" s="3" t="s">
        <v>1429</v>
      </c>
      <c r="C437" s="4">
        <v>1</v>
      </c>
      <c r="D437" s="5">
        <v>5.64</v>
      </c>
      <c r="E437" s="5">
        <v>14.99</v>
      </c>
      <c r="F437" s="4" t="s">
        <v>1430</v>
      </c>
      <c r="G437" s="3" t="s">
        <v>114</v>
      </c>
      <c r="H437" s="7"/>
      <c r="I437" s="5">
        <v>3.4780000000000006</v>
      </c>
      <c r="J437" s="3" t="s">
        <v>380</v>
      </c>
      <c r="K437" s="3" t="s">
        <v>48</v>
      </c>
      <c r="L437" s="3"/>
      <c r="M437" s="3"/>
      <c r="N437" s="8" t="str">
        <f>HYPERLINK("http://slimages.macys.com/is/image/MCY/9020947 ")</f>
        <v xml:space="preserve">http://slimages.macys.com/is/image/MCY/9020947 </v>
      </c>
    </row>
    <row r="438" spans="1:14" ht="48" x14ac:dyDescent="0.25">
      <c r="A438" s="7" t="s">
        <v>1431</v>
      </c>
      <c r="B438" s="3" t="s">
        <v>1432</v>
      </c>
      <c r="C438" s="4">
        <v>2</v>
      </c>
      <c r="D438" s="5">
        <v>5.9</v>
      </c>
      <c r="E438" s="5">
        <v>14.99</v>
      </c>
      <c r="F438" s="4" t="s">
        <v>1433</v>
      </c>
      <c r="G438" s="3" t="s">
        <v>114</v>
      </c>
      <c r="H438" s="7"/>
      <c r="I438" s="5">
        <v>3.4416666666666669</v>
      </c>
      <c r="J438" s="3" t="s">
        <v>116</v>
      </c>
      <c r="K438" s="3" t="s">
        <v>1228</v>
      </c>
      <c r="L438" s="3" t="s">
        <v>32</v>
      </c>
      <c r="M438" s="3" t="s">
        <v>1427</v>
      </c>
      <c r="N438" s="8" t="str">
        <f>HYPERLINK("http://slimages.macys.com/is/image/MCY/15720071 ")</f>
        <v xml:space="preserve">http://slimages.macys.com/is/image/MCY/15720071 </v>
      </c>
    </row>
    <row r="439" spans="1:14" ht="48" x14ac:dyDescent="0.25">
      <c r="A439" s="7" t="s">
        <v>1434</v>
      </c>
      <c r="B439" s="3" t="s">
        <v>1435</v>
      </c>
      <c r="C439" s="4">
        <v>1</v>
      </c>
      <c r="D439" s="5">
        <v>6.78</v>
      </c>
      <c r="E439" s="5">
        <v>29.99</v>
      </c>
      <c r="F439" s="4" t="s">
        <v>1436</v>
      </c>
      <c r="G439" s="3" t="s">
        <v>29</v>
      </c>
      <c r="H439" s="7"/>
      <c r="I439" s="5">
        <v>3.3899999999999997</v>
      </c>
      <c r="J439" s="3" t="s">
        <v>320</v>
      </c>
      <c r="K439" s="3" t="s">
        <v>321</v>
      </c>
      <c r="L439" s="3" t="s">
        <v>32</v>
      </c>
      <c r="M439" s="3"/>
      <c r="N439" s="8" t="str">
        <f>HYPERLINK("http://slimages.macys.com/is/image/MCY/14725222 ")</f>
        <v xml:space="preserve">http://slimages.macys.com/is/image/MCY/14725222 </v>
      </c>
    </row>
    <row r="440" spans="1:14" ht="72" x14ac:dyDescent="0.25">
      <c r="A440" s="7" t="s">
        <v>1437</v>
      </c>
      <c r="B440" s="3" t="s">
        <v>1438</v>
      </c>
      <c r="C440" s="4">
        <v>2</v>
      </c>
      <c r="D440" s="5">
        <v>5.8</v>
      </c>
      <c r="E440" s="5">
        <v>14.99</v>
      </c>
      <c r="F440" s="4" t="s">
        <v>1439</v>
      </c>
      <c r="G440" s="3" t="s">
        <v>114</v>
      </c>
      <c r="H440" s="7" t="s">
        <v>655</v>
      </c>
      <c r="I440" s="5">
        <v>3.3833333333333333</v>
      </c>
      <c r="J440" s="3" t="s">
        <v>116</v>
      </c>
      <c r="K440" s="3" t="s">
        <v>1265</v>
      </c>
      <c r="L440" s="3" t="s">
        <v>710</v>
      </c>
      <c r="M440" s="3" t="s">
        <v>1440</v>
      </c>
      <c r="N440" s="8" t="str">
        <f>HYPERLINK("http://slimages.macys.com/is/image/MCY/8355136 ")</f>
        <v xml:space="preserve">http://slimages.macys.com/is/image/MCY/8355136 </v>
      </c>
    </row>
    <row r="441" spans="1:14" ht="60" x14ac:dyDescent="0.25">
      <c r="A441" s="7" t="s">
        <v>1441</v>
      </c>
      <c r="B441" s="3" t="s">
        <v>1442</v>
      </c>
      <c r="C441" s="4">
        <v>4</v>
      </c>
      <c r="D441" s="5">
        <v>6.71</v>
      </c>
      <c r="E441" s="5">
        <v>39.99</v>
      </c>
      <c r="F441" s="4" t="s">
        <v>1443</v>
      </c>
      <c r="G441" s="3" t="s">
        <v>220</v>
      </c>
      <c r="H441" s="7"/>
      <c r="I441" s="5">
        <v>3.355</v>
      </c>
      <c r="J441" s="3" t="s">
        <v>570</v>
      </c>
      <c r="K441" s="3" t="s">
        <v>921</v>
      </c>
      <c r="L441" s="3" t="s">
        <v>32</v>
      </c>
      <c r="M441" s="3" t="s">
        <v>303</v>
      </c>
      <c r="N441" s="8" t="str">
        <f>HYPERLINK("http://slimages.macys.com/is/image/MCY/2861144 ")</f>
        <v xml:space="preserve">http://slimages.macys.com/is/image/MCY/2861144 </v>
      </c>
    </row>
    <row r="442" spans="1:14" ht="48" x14ac:dyDescent="0.25">
      <c r="A442" s="7" t="s">
        <v>1444</v>
      </c>
      <c r="B442" s="3" t="s">
        <v>1445</v>
      </c>
      <c r="C442" s="4">
        <v>1</v>
      </c>
      <c r="D442" s="5">
        <v>6.7</v>
      </c>
      <c r="E442" s="5">
        <v>19.989999999999998</v>
      </c>
      <c r="F442" s="4" t="s">
        <v>1446</v>
      </c>
      <c r="G442" s="3" t="s">
        <v>36</v>
      </c>
      <c r="H442" s="7" t="s">
        <v>360</v>
      </c>
      <c r="I442" s="5">
        <v>3.3499999999999996</v>
      </c>
      <c r="J442" s="3" t="s">
        <v>47</v>
      </c>
      <c r="K442" s="3" t="s">
        <v>1228</v>
      </c>
      <c r="L442" s="3" t="s">
        <v>32</v>
      </c>
      <c r="M442" s="3" t="s">
        <v>193</v>
      </c>
      <c r="N442" s="8" t="str">
        <f>HYPERLINK("http://slimages.macys.com/is/image/MCY/13743085 ")</f>
        <v xml:space="preserve">http://slimages.macys.com/is/image/MCY/13743085 </v>
      </c>
    </row>
    <row r="443" spans="1:14" ht="48" x14ac:dyDescent="0.25">
      <c r="A443" s="7" t="s">
        <v>1447</v>
      </c>
      <c r="B443" s="3" t="s">
        <v>1448</v>
      </c>
      <c r="C443" s="4">
        <v>1</v>
      </c>
      <c r="D443" s="5">
        <v>5.38</v>
      </c>
      <c r="E443" s="5">
        <v>14.99</v>
      </c>
      <c r="F443" s="4">
        <v>1010822100</v>
      </c>
      <c r="G443" s="3" t="s">
        <v>114</v>
      </c>
      <c r="H443" s="7"/>
      <c r="I443" s="5">
        <v>3.3176666666666668</v>
      </c>
      <c r="J443" s="3" t="s">
        <v>802</v>
      </c>
      <c r="K443" s="3" t="s">
        <v>803</v>
      </c>
      <c r="L443" s="3"/>
      <c r="M443" s="3"/>
      <c r="N443" s="8" t="str">
        <f>HYPERLINK("http://slimages.macys.com/is/image/MCY/17825966 ")</f>
        <v xml:space="preserve">http://slimages.macys.com/is/image/MCY/17825966 </v>
      </c>
    </row>
    <row r="444" spans="1:14" ht="60" x14ac:dyDescent="0.25">
      <c r="A444" s="7" t="s">
        <v>1449</v>
      </c>
      <c r="B444" s="3" t="s">
        <v>1450</v>
      </c>
      <c r="C444" s="4">
        <v>3</v>
      </c>
      <c r="D444" s="5">
        <v>5.67</v>
      </c>
      <c r="E444" s="5">
        <v>13.99</v>
      </c>
      <c r="F444" s="4" t="s">
        <v>1451</v>
      </c>
      <c r="G444" s="3" t="s">
        <v>476</v>
      </c>
      <c r="H444" s="7"/>
      <c r="I444" s="5">
        <v>3.3075000000000001</v>
      </c>
      <c r="J444" s="3" t="s">
        <v>80</v>
      </c>
      <c r="K444" s="3" t="s">
        <v>1010</v>
      </c>
      <c r="L444" s="3" t="s">
        <v>32</v>
      </c>
      <c r="M444" s="3" t="s">
        <v>208</v>
      </c>
      <c r="N444" s="8" t="str">
        <f>HYPERLINK("http://slimages.macys.com/is/image/MCY/935272 ")</f>
        <v xml:space="preserve">http://slimages.macys.com/is/image/MCY/935272 </v>
      </c>
    </row>
    <row r="445" spans="1:14" ht="48" x14ac:dyDescent="0.25">
      <c r="A445" s="7" t="s">
        <v>1452</v>
      </c>
      <c r="B445" s="3" t="s">
        <v>1453</v>
      </c>
      <c r="C445" s="4">
        <v>1</v>
      </c>
      <c r="D445" s="5">
        <v>5.63</v>
      </c>
      <c r="E445" s="5">
        <v>13.99</v>
      </c>
      <c r="F445" s="4">
        <v>6550585</v>
      </c>
      <c r="G445" s="3" t="s">
        <v>59</v>
      </c>
      <c r="H445" s="7" t="s">
        <v>1306</v>
      </c>
      <c r="I445" s="5">
        <v>3.2841666666666667</v>
      </c>
      <c r="J445" s="3" t="s">
        <v>80</v>
      </c>
      <c r="K445" s="3" t="s">
        <v>1454</v>
      </c>
      <c r="L445" s="3" t="s">
        <v>32</v>
      </c>
      <c r="M445" s="3" t="s">
        <v>188</v>
      </c>
      <c r="N445" s="8" t="str">
        <f>HYPERLINK("http://slimages.macys.com/is/image/MCY/10044995 ")</f>
        <v xml:space="preserve">http://slimages.macys.com/is/image/MCY/10044995 </v>
      </c>
    </row>
    <row r="446" spans="1:14" ht="60" x14ac:dyDescent="0.25">
      <c r="A446" s="7" t="s">
        <v>1455</v>
      </c>
      <c r="B446" s="3" t="s">
        <v>1456</v>
      </c>
      <c r="C446" s="4">
        <v>2</v>
      </c>
      <c r="D446" s="5">
        <v>5.32</v>
      </c>
      <c r="E446" s="5">
        <v>12.99</v>
      </c>
      <c r="F446" s="4" t="s">
        <v>1457</v>
      </c>
      <c r="G446" s="3" t="s">
        <v>114</v>
      </c>
      <c r="H446" s="7" t="s">
        <v>1458</v>
      </c>
      <c r="I446" s="5">
        <v>3.2806666666666668</v>
      </c>
      <c r="J446" s="3" t="s">
        <v>380</v>
      </c>
      <c r="K446" s="3" t="s">
        <v>597</v>
      </c>
      <c r="L446" s="3" t="s">
        <v>32</v>
      </c>
      <c r="M446" s="3" t="s">
        <v>1298</v>
      </c>
      <c r="N446" s="8" t="str">
        <f>HYPERLINK("http://slimages.macys.com/is/image/MCY/15009824 ")</f>
        <v xml:space="preserve">http://slimages.macys.com/is/image/MCY/15009824 </v>
      </c>
    </row>
    <row r="447" spans="1:14" ht="48" x14ac:dyDescent="0.25">
      <c r="A447" s="7" t="s">
        <v>1459</v>
      </c>
      <c r="B447" s="3" t="s">
        <v>1460</v>
      </c>
      <c r="C447" s="4">
        <v>1</v>
      </c>
      <c r="D447" s="5">
        <v>5.21</v>
      </c>
      <c r="E447" s="5">
        <v>18.989999999999998</v>
      </c>
      <c r="F447" s="4" t="s">
        <v>1461</v>
      </c>
      <c r="G447" s="3"/>
      <c r="H447" s="7"/>
      <c r="I447" s="5">
        <v>3.2128333333333332</v>
      </c>
      <c r="J447" s="3" t="s">
        <v>380</v>
      </c>
      <c r="K447" s="3" t="s">
        <v>405</v>
      </c>
      <c r="L447" s="3" t="s">
        <v>32</v>
      </c>
      <c r="M447" s="3" t="s">
        <v>1462</v>
      </c>
      <c r="N447" s="8" t="str">
        <f>HYPERLINK("http://slimages.macys.com/is/image/MCY/13533961 ")</f>
        <v xml:space="preserve">http://slimages.macys.com/is/image/MCY/13533961 </v>
      </c>
    </row>
    <row r="448" spans="1:14" ht="60" x14ac:dyDescent="0.25">
      <c r="A448" s="7" t="s">
        <v>1463</v>
      </c>
      <c r="B448" s="3" t="s">
        <v>1464</v>
      </c>
      <c r="C448" s="4">
        <v>1</v>
      </c>
      <c r="D448" s="5">
        <v>5.38</v>
      </c>
      <c r="E448" s="5">
        <v>24.99</v>
      </c>
      <c r="F448" s="4" t="s">
        <v>1465</v>
      </c>
      <c r="G448" s="3" t="s">
        <v>114</v>
      </c>
      <c r="H448" s="7"/>
      <c r="I448" s="5">
        <v>3.1383333333333336</v>
      </c>
      <c r="J448" s="3" t="s">
        <v>116</v>
      </c>
      <c r="K448" s="3" t="s">
        <v>1265</v>
      </c>
      <c r="L448" s="3" t="s">
        <v>32</v>
      </c>
      <c r="M448" s="3"/>
      <c r="N448" s="8" t="str">
        <f>HYPERLINK("http://slimages.macys.com/is/image/MCY/13285715 ")</f>
        <v xml:space="preserve">http://slimages.macys.com/is/image/MCY/13285715 </v>
      </c>
    </row>
    <row r="449" spans="1:14" ht="60" x14ac:dyDescent="0.25">
      <c r="A449" s="7" t="s">
        <v>1466</v>
      </c>
      <c r="B449" s="3" t="s">
        <v>1467</v>
      </c>
      <c r="C449" s="4">
        <v>6</v>
      </c>
      <c r="D449" s="5">
        <v>5.35</v>
      </c>
      <c r="E449" s="5">
        <v>14.99</v>
      </c>
      <c r="F449" s="4" t="s">
        <v>1468</v>
      </c>
      <c r="G449" s="3" t="s">
        <v>36</v>
      </c>
      <c r="H449" s="7"/>
      <c r="I449" s="5">
        <v>3.1208333333333336</v>
      </c>
      <c r="J449" s="3" t="s">
        <v>80</v>
      </c>
      <c r="K449" s="3" t="s">
        <v>1010</v>
      </c>
      <c r="L449" s="3" t="s">
        <v>32</v>
      </c>
      <c r="M449" s="3" t="s">
        <v>208</v>
      </c>
      <c r="N449" s="8" t="str">
        <f>HYPERLINK("http://slimages.macys.com/is/image/MCY/3135987 ")</f>
        <v xml:space="preserve">http://slimages.macys.com/is/image/MCY/3135987 </v>
      </c>
    </row>
    <row r="450" spans="1:14" ht="120" x14ac:dyDescent="0.25">
      <c r="A450" s="7" t="s">
        <v>1469</v>
      </c>
      <c r="B450" s="3" t="s">
        <v>1470</v>
      </c>
      <c r="C450" s="4">
        <v>2</v>
      </c>
      <c r="D450" s="5">
        <v>5</v>
      </c>
      <c r="E450" s="5">
        <v>11.99</v>
      </c>
      <c r="F450" s="4" t="s">
        <v>1471</v>
      </c>
      <c r="G450" s="3" t="s">
        <v>36</v>
      </c>
      <c r="H450" s="7"/>
      <c r="I450" s="5">
        <v>3.0833333333333335</v>
      </c>
      <c r="J450" s="3" t="s">
        <v>380</v>
      </c>
      <c r="K450" s="3" t="s">
        <v>597</v>
      </c>
      <c r="L450" s="3" t="s">
        <v>32</v>
      </c>
      <c r="M450" s="3" t="s">
        <v>1472</v>
      </c>
      <c r="N450" s="8" t="str">
        <f>HYPERLINK("http://slimages.macys.com/is/image/MCY/10983571 ")</f>
        <v xml:space="preserve">http://slimages.macys.com/is/image/MCY/10983571 </v>
      </c>
    </row>
    <row r="451" spans="1:14" ht="60" x14ac:dyDescent="0.25">
      <c r="A451" s="7" t="s">
        <v>1473</v>
      </c>
      <c r="B451" s="3" t="s">
        <v>1474</v>
      </c>
      <c r="C451" s="4">
        <v>3</v>
      </c>
      <c r="D451" s="5">
        <v>5</v>
      </c>
      <c r="E451" s="5">
        <v>10</v>
      </c>
      <c r="F451" s="4" t="s">
        <v>1475</v>
      </c>
      <c r="G451" s="3" t="s">
        <v>1194</v>
      </c>
      <c r="H451" s="7" t="s">
        <v>655</v>
      </c>
      <c r="I451" s="5">
        <v>3.0833333333333335</v>
      </c>
      <c r="J451" s="3" t="s">
        <v>1053</v>
      </c>
      <c r="K451" s="3" t="s">
        <v>1476</v>
      </c>
      <c r="L451" s="3" t="s">
        <v>118</v>
      </c>
      <c r="M451" s="3" t="s">
        <v>1477</v>
      </c>
      <c r="N451" s="8" t="str">
        <f>HYPERLINK("http://images.bloomingdales.com/is/image/BLM/9868244 ")</f>
        <v xml:space="preserve">http://images.bloomingdales.com/is/image/BLM/9868244 </v>
      </c>
    </row>
    <row r="452" spans="1:14" ht="48" x14ac:dyDescent="0.25">
      <c r="A452" s="7" t="s">
        <v>1478</v>
      </c>
      <c r="B452" s="3" t="s">
        <v>1479</v>
      </c>
      <c r="C452" s="4">
        <v>1</v>
      </c>
      <c r="D452" s="5">
        <v>5</v>
      </c>
      <c r="E452" s="5">
        <v>11.99</v>
      </c>
      <c r="F452" s="4" t="s">
        <v>1480</v>
      </c>
      <c r="G452" s="3" t="s">
        <v>137</v>
      </c>
      <c r="H452" s="7"/>
      <c r="I452" s="5">
        <v>3.0833333333333335</v>
      </c>
      <c r="J452" s="3" t="s">
        <v>380</v>
      </c>
      <c r="K452" s="3" t="s">
        <v>597</v>
      </c>
      <c r="L452" s="3"/>
      <c r="M452" s="3"/>
      <c r="N452" s="8" t="str">
        <f>HYPERLINK("http://slimages.macys.com/is/image/MCY/17789070 ")</f>
        <v xml:space="preserve">http://slimages.macys.com/is/image/MCY/17789070 </v>
      </c>
    </row>
    <row r="453" spans="1:14" ht="48" x14ac:dyDescent="0.25">
      <c r="A453" s="7" t="s">
        <v>1481</v>
      </c>
      <c r="B453" s="3" t="s">
        <v>1482</v>
      </c>
      <c r="C453" s="4">
        <v>6</v>
      </c>
      <c r="D453" s="5">
        <v>5.99</v>
      </c>
      <c r="E453" s="5">
        <v>39.99</v>
      </c>
      <c r="F453" s="4" t="s">
        <v>1483</v>
      </c>
      <c r="G453" s="3" t="s">
        <v>1484</v>
      </c>
      <c r="H453" s="7"/>
      <c r="I453" s="5">
        <v>2.9950000000000001</v>
      </c>
      <c r="J453" s="3" t="s">
        <v>419</v>
      </c>
      <c r="K453" s="3" t="s">
        <v>420</v>
      </c>
      <c r="L453" s="3" t="s">
        <v>32</v>
      </c>
      <c r="M453" s="3" t="s">
        <v>644</v>
      </c>
      <c r="N453" s="8" t="str">
        <f>HYPERLINK("http://slimages.macys.com/is/image/MCY/11607139 ")</f>
        <v xml:space="preserve">http://slimages.macys.com/is/image/MCY/11607139 </v>
      </c>
    </row>
    <row r="454" spans="1:14" ht="48" x14ac:dyDescent="0.25">
      <c r="A454" s="7" t="s">
        <v>1485</v>
      </c>
      <c r="B454" s="3" t="s">
        <v>1486</v>
      </c>
      <c r="C454" s="4">
        <v>4</v>
      </c>
      <c r="D454" s="5">
        <v>5.99</v>
      </c>
      <c r="E454" s="5">
        <v>39.99</v>
      </c>
      <c r="F454" s="4" t="s">
        <v>1487</v>
      </c>
      <c r="G454" s="3" t="s">
        <v>36</v>
      </c>
      <c r="H454" s="7"/>
      <c r="I454" s="5">
        <v>2.9950000000000001</v>
      </c>
      <c r="J454" s="3" t="s">
        <v>419</v>
      </c>
      <c r="K454" s="3" t="s">
        <v>420</v>
      </c>
      <c r="L454" s="3" t="s">
        <v>32</v>
      </c>
      <c r="M454" s="3"/>
      <c r="N454" s="8" t="str">
        <f>HYPERLINK("http://slimages.macys.com/is/image/MCY/8456177 ")</f>
        <v xml:space="preserve">http://slimages.macys.com/is/image/MCY/8456177 </v>
      </c>
    </row>
    <row r="455" spans="1:14" ht="48" x14ac:dyDescent="0.25">
      <c r="A455" s="7" t="s">
        <v>1481</v>
      </c>
      <c r="B455" s="3" t="s">
        <v>1482</v>
      </c>
      <c r="C455" s="4">
        <v>2</v>
      </c>
      <c r="D455" s="5">
        <v>5.99</v>
      </c>
      <c r="E455" s="5">
        <v>39.99</v>
      </c>
      <c r="F455" s="4" t="s">
        <v>1483</v>
      </c>
      <c r="G455" s="3" t="s">
        <v>1484</v>
      </c>
      <c r="H455" s="7"/>
      <c r="I455" s="5">
        <v>2.9950000000000001</v>
      </c>
      <c r="J455" s="3" t="s">
        <v>419</v>
      </c>
      <c r="K455" s="3" t="s">
        <v>420</v>
      </c>
      <c r="L455" s="3" t="s">
        <v>32</v>
      </c>
      <c r="M455" s="3" t="s">
        <v>644</v>
      </c>
      <c r="N455" s="8" t="str">
        <f>HYPERLINK("http://slimages.macys.com/is/image/MCY/11607139 ")</f>
        <v xml:space="preserve">http://slimages.macys.com/is/image/MCY/11607139 </v>
      </c>
    </row>
    <row r="456" spans="1:14" ht="60" x14ac:dyDescent="0.25">
      <c r="A456" s="7" t="s">
        <v>1488</v>
      </c>
      <c r="B456" s="3" t="s">
        <v>1489</v>
      </c>
      <c r="C456" s="4">
        <v>2</v>
      </c>
      <c r="D456" s="5">
        <v>4.88</v>
      </c>
      <c r="E456" s="5">
        <v>11.99</v>
      </c>
      <c r="F456" s="4" t="s">
        <v>1490</v>
      </c>
      <c r="G456" s="3" t="s">
        <v>36</v>
      </c>
      <c r="H456" s="7"/>
      <c r="I456" s="5">
        <v>2.8466666666666667</v>
      </c>
      <c r="J456" s="3" t="s">
        <v>80</v>
      </c>
      <c r="K456" s="3" t="s">
        <v>1010</v>
      </c>
      <c r="L456" s="3" t="s">
        <v>32</v>
      </c>
      <c r="M456" s="3" t="s">
        <v>208</v>
      </c>
      <c r="N456" s="8" t="str">
        <f>HYPERLINK("http://slimages.macys.com/is/image/MCY/935272 ")</f>
        <v xml:space="preserve">http://slimages.macys.com/is/image/MCY/935272 </v>
      </c>
    </row>
    <row r="457" spans="1:14" ht="60" x14ac:dyDescent="0.25">
      <c r="A457" s="7" t="s">
        <v>1491</v>
      </c>
      <c r="B457" s="3" t="s">
        <v>1492</v>
      </c>
      <c r="C457" s="4">
        <v>8</v>
      </c>
      <c r="D457" s="5">
        <v>4.88</v>
      </c>
      <c r="E457" s="5">
        <v>11.99</v>
      </c>
      <c r="F457" s="4" t="s">
        <v>1493</v>
      </c>
      <c r="G457" s="3" t="s">
        <v>114</v>
      </c>
      <c r="H457" s="7"/>
      <c r="I457" s="5">
        <v>2.8466666666666667</v>
      </c>
      <c r="J457" s="3" t="s">
        <v>80</v>
      </c>
      <c r="K457" s="3" t="s">
        <v>1010</v>
      </c>
      <c r="L457" s="3" t="s">
        <v>32</v>
      </c>
      <c r="M457" s="3" t="s">
        <v>208</v>
      </c>
      <c r="N457" s="8" t="str">
        <f>HYPERLINK("http://slimages.macys.com/is/image/MCY/935272 ")</f>
        <v xml:space="preserve">http://slimages.macys.com/is/image/MCY/935272 </v>
      </c>
    </row>
    <row r="458" spans="1:14" ht="60" x14ac:dyDescent="0.25">
      <c r="A458" s="7" t="s">
        <v>1494</v>
      </c>
      <c r="B458" s="3" t="s">
        <v>1495</v>
      </c>
      <c r="C458" s="4">
        <v>6</v>
      </c>
      <c r="D458" s="5">
        <v>4.88</v>
      </c>
      <c r="E458" s="5">
        <v>11.99</v>
      </c>
      <c r="F458" s="4" t="s">
        <v>1496</v>
      </c>
      <c r="G458" s="3" t="s">
        <v>29</v>
      </c>
      <c r="H458" s="7"/>
      <c r="I458" s="5">
        <v>2.8466666666666667</v>
      </c>
      <c r="J458" s="3" t="s">
        <v>80</v>
      </c>
      <c r="K458" s="3" t="s">
        <v>1010</v>
      </c>
      <c r="L458" s="3" t="s">
        <v>32</v>
      </c>
      <c r="M458" s="3" t="s">
        <v>208</v>
      </c>
      <c r="N458" s="8" t="str">
        <f>HYPERLINK("http://slimages.macys.com/is/image/MCY/935272 ")</f>
        <v xml:space="preserve">http://slimages.macys.com/is/image/MCY/935272 </v>
      </c>
    </row>
    <row r="459" spans="1:14" ht="60" x14ac:dyDescent="0.25">
      <c r="A459" s="7" t="s">
        <v>1497</v>
      </c>
      <c r="B459" s="3" t="s">
        <v>1498</v>
      </c>
      <c r="C459" s="4">
        <v>2</v>
      </c>
      <c r="D459" s="5">
        <v>4.88</v>
      </c>
      <c r="E459" s="5">
        <v>11.99</v>
      </c>
      <c r="F459" s="4" t="s">
        <v>1499</v>
      </c>
      <c r="G459" s="3" t="s">
        <v>476</v>
      </c>
      <c r="H459" s="7"/>
      <c r="I459" s="5">
        <v>2.8466666666666667</v>
      </c>
      <c r="J459" s="3" t="s">
        <v>80</v>
      </c>
      <c r="K459" s="3" t="s">
        <v>1010</v>
      </c>
      <c r="L459" s="3" t="s">
        <v>32</v>
      </c>
      <c r="M459" s="3" t="s">
        <v>208</v>
      </c>
      <c r="N459" s="8" t="str">
        <f>HYPERLINK("http://slimages.macys.com/is/image/MCY/935272 ")</f>
        <v xml:space="preserve">http://slimages.macys.com/is/image/MCY/935272 </v>
      </c>
    </row>
    <row r="460" spans="1:14" ht="60" x14ac:dyDescent="0.25">
      <c r="A460" s="7" t="s">
        <v>1497</v>
      </c>
      <c r="B460" s="3" t="s">
        <v>1498</v>
      </c>
      <c r="C460" s="4">
        <v>3</v>
      </c>
      <c r="D460" s="5">
        <v>4.88</v>
      </c>
      <c r="E460" s="5">
        <v>11.99</v>
      </c>
      <c r="F460" s="4" t="s">
        <v>1499</v>
      </c>
      <c r="G460" s="3" t="s">
        <v>476</v>
      </c>
      <c r="H460" s="7"/>
      <c r="I460" s="5">
        <v>2.8466666666666667</v>
      </c>
      <c r="J460" s="3" t="s">
        <v>80</v>
      </c>
      <c r="K460" s="3" t="s">
        <v>1010</v>
      </c>
      <c r="L460" s="3" t="s">
        <v>32</v>
      </c>
      <c r="M460" s="3" t="s">
        <v>208</v>
      </c>
      <c r="N460" s="8" t="str">
        <f>HYPERLINK("http://slimages.macys.com/is/image/MCY/935272 ")</f>
        <v xml:space="preserve">http://slimages.macys.com/is/image/MCY/935272 </v>
      </c>
    </row>
    <row r="461" spans="1:14" ht="48" x14ac:dyDescent="0.25">
      <c r="A461" s="7" t="s">
        <v>1500</v>
      </c>
      <c r="B461" s="3" t="s">
        <v>1501</v>
      </c>
      <c r="C461" s="4">
        <v>2</v>
      </c>
      <c r="D461" s="5">
        <v>4.47</v>
      </c>
      <c r="E461" s="5">
        <v>9.99</v>
      </c>
      <c r="F461" s="4" t="s">
        <v>1502</v>
      </c>
      <c r="G461" s="3" t="s">
        <v>94</v>
      </c>
      <c r="H461" s="7" t="s">
        <v>1503</v>
      </c>
      <c r="I461" s="5">
        <v>2.7565</v>
      </c>
      <c r="J461" s="3" t="s">
        <v>660</v>
      </c>
      <c r="K461" s="3" t="s">
        <v>1504</v>
      </c>
      <c r="L461" s="3" t="s">
        <v>32</v>
      </c>
      <c r="M461" s="3"/>
      <c r="N461" s="8" t="str">
        <f>HYPERLINK("http://slimages.macys.com/is/image/MCY/9587492 ")</f>
        <v xml:space="preserve">http://slimages.macys.com/is/image/MCY/9587492 </v>
      </c>
    </row>
    <row r="462" spans="1:14" ht="60" x14ac:dyDescent="0.25">
      <c r="A462" s="7" t="s">
        <v>1505</v>
      </c>
      <c r="B462" s="3" t="s">
        <v>1506</v>
      </c>
      <c r="C462" s="4">
        <v>1</v>
      </c>
      <c r="D462" s="5">
        <v>5.5</v>
      </c>
      <c r="E462" s="5">
        <v>14.99</v>
      </c>
      <c r="F462" s="4" t="s">
        <v>1507</v>
      </c>
      <c r="G462" s="3"/>
      <c r="H462" s="7"/>
      <c r="I462" s="5">
        <v>2.75</v>
      </c>
      <c r="J462" s="3" t="s">
        <v>47</v>
      </c>
      <c r="K462" s="3" t="s">
        <v>1378</v>
      </c>
      <c r="L462" s="3" t="s">
        <v>32</v>
      </c>
      <c r="M462" s="3" t="s">
        <v>1508</v>
      </c>
      <c r="N462" s="8" t="str">
        <f>HYPERLINK("http://slimages.macys.com/is/image/MCY/16140166 ")</f>
        <v xml:space="preserve">http://slimages.macys.com/is/image/MCY/16140166 </v>
      </c>
    </row>
    <row r="463" spans="1:14" ht="60" x14ac:dyDescent="0.25">
      <c r="A463" s="7" t="s">
        <v>1509</v>
      </c>
      <c r="B463" s="3" t="s">
        <v>1510</v>
      </c>
      <c r="C463" s="4">
        <v>5</v>
      </c>
      <c r="D463" s="5">
        <v>5.5</v>
      </c>
      <c r="E463" s="5">
        <v>14.99</v>
      </c>
      <c r="F463" s="4" t="s">
        <v>1511</v>
      </c>
      <c r="G463" s="3"/>
      <c r="H463" s="7"/>
      <c r="I463" s="5">
        <v>2.75</v>
      </c>
      <c r="J463" s="3" t="s">
        <v>47</v>
      </c>
      <c r="K463" s="3" t="s">
        <v>1378</v>
      </c>
      <c r="L463" s="3" t="s">
        <v>32</v>
      </c>
      <c r="M463" s="3" t="s">
        <v>1508</v>
      </c>
      <c r="N463" s="8" t="str">
        <f>HYPERLINK("http://slimages.macys.com/is/image/MCY/16140168 ")</f>
        <v xml:space="preserve">http://slimages.macys.com/is/image/MCY/16140168 </v>
      </c>
    </row>
    <row r="464" spans="1:14" ht="60" x14ac:dyDescent="0.25">
      <c r="A464" s="7" t="s">
        <v>1512</v>
      </c>
      <c r="B464" s="3" t="s">
        <v>1513</v>
      </c>
      <c r="C464" s="4">
        <v>1</v>
      </c>
      <c r="D464" s="5">
        <v>5.5</v>
      </c>
      <c r="E464" s="5">
        <v>14.99</v>
      </c>
      <c r="F464" s="4" t="s">
        <v>1514</v>
      </c>
      <c r="G464" s="3"/>
      <c r="H464" s="7"/>
      <c r="I464" s="5">
        <v>2.75</v>
      </c>
      <c r="J464" s="3" t="s">
        <v>47</v>
      </c>
      <c r="K464" s="3" t="s">
        <v>1378</v>
      </c>
      <c r="L464" s="3" t="s">
        <v>32</v>
      </c>
      <c r="M464" s="3" t="s">
        <v>1508</v>
      </c>
      <c r="N464" s="8" t="str">
        <f>HYPERLINK("http://slimages.macys.com/is/image/MCY/16140169 ")</f>
        <v xml:space="preserve">http://slimages.macys.com/is/image/MCY/16140169 </v>
      </c>
    </row>
    <row r="465" spans="1:14" ht="60" x14ac:dyDescent="0.25">
      <c r="A465" s="7" t="s">
        <v>1515</v>
      </c>
      <c r="B465" s="3" t="s">
        <v>1516</v>
      </c>
      <c r="C465" s="4">
        <v>1</v>
      </c>
      <c r="D465" s="5">
        <v>5.5</v>
      </c>
      <c r="E465" s="5">
        <v>14.99</v>
      </c>
      <c r="F465" s="4" t="s">
        <v>1517</v>
      </c>
      <c r="G465" s="3"/>
      <c r="H465" s="7"/>
      <c r="I465" s="5">
        <v>2.75</v>
      </c>
      <c r="J465" s="3" t="s">
        <v>47</v>
      </c>
      <c r="K465" s="3" t="s">
        <v>1378</v>
      </c>
      <c r="L465" s="3" t="s">
        <v>32</v>
      </c>
      <c r="M465" s="3" t="s">
        <v>1508</v>
      </c>
      <c r="N465" s="8" t="str">
        <f>HYPERLINK("http://slimages.macys.com/is/image/MCY/16140167 ")</f>
        <v xml:space="preserve">http://slimages.macys.com/is/image/MCY/16140167 </v>
      </c>
    </row>
    <row r="466" spans="1:14" ht="48" x14ac:dyDescent="0.25">
      <c r="A466" s="7" t="s">
        <v>1518</v>
      </c>
      <c r="B466" s="3" t="s">
        <v>1519</v>
      </c>
      <c r="C466" s="4">
        <v>1</v>
      </c>
      <c r="D466" s="5">
        <v>4.5</v>
      </c>
      <c r="E466" s="5">
        <v>14.99</v>
      </c>
      <c r="F466" s="4" t="s">
        <v>1520</v>
      </c>
      <c r="G466" s="3" t="s">
        <v>105</v>
      </c>
      <c r="H466" s="7" t="s">
        <v>655</v>
      </c>
      <c r="I466" s="5">
        <v>2.625</v>
      </c>
      <c r="J466" s="3" t="s">
        <v>80</v>
      </c>
      <c r="K466" s="3" t="s">
        <v>629</v>
      </c>
      <c r="L466" s="3" t="s">
        <v>32</v>
      </c>
      <c r="M466" s="3" t="s">
        <v>1521</v>
      </c>
      <c r="N466" s="8" t="str">
        <f>HYPERLINK("http://slimages.macys.com/is/image/MCY/9456462 ")</f>
        <v xml:space="preserve">http://slimages.macys.com/is/image/MCY/9456462 </v>
      </c>
    </row>
    <row r="467" spans="1:14" ht="60" x14ac:dyDescent="0.25">
      <c r="A467" s="7" t="s">
        <v>1522</v>
      </c>
      <c r="B467" s="3" t="s">
        <v>1523</v>
      </c>
      <c r="C467" s="4">
        <v>3</v>
      </c>
      <c r="D467" s="5">
        <v>4.46</v>
      </c>
      <c r="E467" s="5">
        <v>10.99</v>
      </c>
      <c r="F467" s="4" t="s">
        <v>1524</v>
      </c>
      <c r="G467" s="3" t="s">
        <v>36</v>
      </c>
      <c r="H467" s="7"/>
      <c r="I467" s="5">
        <v>2.6016666666666666</v>
      </c>
      <c r="J467" s="3" t="s">
        <v>80</v>
      </c>
      <c r="K467" s="3" t="s">
        <v>1010</v>
      </c>
      <c r="L467" s="3" t="s">
        <v>32</v>
      </c>
      <c r="M467" s="3" t="s">
        <v>208</v>
      </c>
      <c r="N467" s="8" t="str">
        <f>HYPERLINK("http://slimages.macys.com/is/image/MCY/935272 ")</f>
        <v xml:space="preserve">http://slimages.macys.com/is/image/MCY/935272 </v>
      </c>
    </row>
    <row r="468" spans="1:14" ht="60" x14ac:dyDescent="0.25">
      <c r="A468" s="7" t="s">
        <v>1525</v>
      </c>
      <c r="B468" s="3" t="s">
        <v>1526</v>
      </c>
      <c r="C468" s="4">
        <v>4</v>
      </c>
      <c r="D468" s="5">
        <v>4.46</v>
      </c>
      <c r="E468" s="5">
        <v>10.99</v>
      </c>
      <c r="F468" s="4" t="s">
        <v>1527</v>
      </c>
      <c r="G468" s="3" t="s">
        <v>520</v>
      </c>
      <c r="H468" s="7"/>
      <c r="I468" s="5">
        <v>2.6016666666666666</v>
      </c>
      <c r="J468" s="3" t="s">
        <v>80</v>
      </c>
      <c r="K468" s="3" t="s">
        <v>1010</v>
      </c>
      <c r="L468" s="3" t="s">
        <v>32</v>
      </c>
      <c r="M468" s="3" t="s">
        <v>208</v>
      </c>
      <c r="N468" s="8" t="str">
        <f>HYPERLINK("http://slimages.macys.com/is/image/MCY/935272 ")</f>
        <v xml:space="preserve">http://slimages.macys.com/is/image/MCY/935272 </v>
      </c>
    </row>
    <row r="469" spans="1:14" ht="60" x14ac:dyDescent="0.25">
      <c r="A469" s="7" t="s">
        <v>1528</v>
      </c>
      <c r="B469" s="3" t="s">
        <v>1529</v>
      </c>
      <c r="C469" s="4">
        <v>1</v>
      </c>
      <c r="D469" s="5">
        <v>4.46</v>
      </c>
      <c r="E469" s="5">
        <v>10.99</v>
      </c>
      <c r="F469" s="4" t="s">
        <v>1530</v>
      </c>
      <c r="G469" s="3" t="s">
        <v>476</v>
      </c>
      <c r="H469" s="7"/>
      <c r="I469" s="5">
        <v>2.6016666666666666</v>
      </c>
      <c r="J469" s="3" t="s">
        <v>80</v>
      </c>
      <c r="K469" s="3" t="s">
        <v>1010</v>
      </c>
      <c r="L469" s="3" t="s">
        <v>32</v>
      </c>
      <c r="M469" s="3" t="s">
        <v>208</v>
      </c>
      <c r="N469" s="8" t="str">
        <f>HYPERLINK("http://slimages.macys.com/is/image/MCY/935272 ")</f>
        <v xml:space="preserve">http://slimages.macys.com/is/image/MCY/935272 </v>
      </c>
    </row>
    <row r="470" spans="1:14" ht="48" x14ac:dyDescent="0.25">
      <c r="A470" s="7" t="s">
        <v>1531</v>
      </c>
      <c r="B470" s="3" t="s">
        <v>1532</v>
      </c>
      <c r="C470" s="4">
        <v>1</v>
      </c>
      <c r="D470" s="5">
        <v>4.1399999999999997</v>
      </c>
      <c r="E470" s="5">
        <v>12.99</v>
      </c>
      <c r="F470" s="4" t="s">
        <v>1533</v>
      </c>
      <c r="G470" s="3" t="s">
        <v>36</v>
      </c>
      <c r="H470" s="7" t="s">
        <v>1458</v>
      </c>
      <c r="I470" s="5">
        <v>2.5530000000000004</v>
      </c>
      <c r="J470" s="3" t="s">
        <v>660</v>
      </c>
      <c r="K470" s="3" t="s">
        <v>560</v>
      </c>
      <c r="L470" s="3" t="s">
        <v>32</v>
      </c>
      <c r="M470" s="3" t="s">
        <v>303</v>
      </c>
      <c r="N470" s="8" t="str">
        <f>HYPERLINK("http://slimages.macys.com/is/image/MCY/14401424 ")</f>
        <v xml:space="preserve">http://slimages.macys.com/is/image/MCY/14401424 </v>
      </c>
    </row>
    <row r="471" spans="1:14" ht="48" x14ac:dyDescent="0.25">
      <c r="A471" s="7" t="s">
        <v>1534</v>
      </c>
      <c r="B471" s="3" t="s">
        <v>1535</v>
      </c>
      <c r="C471" s="4">
        <v>2</v>
      </c>
      <c r="D471" s="5">
        <v>4.09</v>
      </c>
      <c r="E471" s="5">
        <v>9.99</v>
      </c>
      <c r="F471" s="4" t="s">
        <v>1536</v>
      </c>
      <c r="G471" s="3" t="s">
        <v>36</v>
      </c>
      <c r="H471" s="7" t="s">
        <v>1503</v>
      </c>
      <c r="I471" s="5">
        <v>2.5221666666666671</v>
      </c>
      <c r="J471" s="3" t="s">
        <v>380</v>
      </c>
      <c r="K471" s="3" t="s">
        <v>597</v>
      </c>
      <c r="L471" s="3" t="s">
        <v>32</v>
      </c>
      <c r="M471" s="3" t="s">
        <v>303</v>
      </c>
      <c r="N471" s="8" t="str">
        <f>HYPERLINK("http://slimages.macys.com/is/image/MCY/1426090 ")</f>
        <v xml:space="preserve">http://slimages.macys.com/is/image/MCY/1426090 </v>
      </c>
    </row>
    <row r="472" spans="1:14" ht="60" x14ac:dyDescent="0.25">
      <c r="A472" s="7" t="s">
        <v>1537</v>
      </c>
      <c r="B472" s="3" t="s">
        <v>1538</v>
      </c>
      <c r="C472" s="4">
        <v>4</v>
      </c>
      <c r="D472" s="5">
        <v>4.09</v>
      </c>
      <c r="E472" s="5">
        <v>9.99</v>
      </c>
      <c r="F472" s="4" t="s">
        <v>1539</v>
      </c>
      <c r="G472" s="3" t="s">
        <v>137</v>
      </c>
      <c r="H472" s="7" t="s">
        <v>1540</v>
      </c>
      <c r="I472" s="5">
        <v>2.5221666666666671</v>
      </c>
      <c r="J472" s="3" t="s">
        <v>660</v>
      </c>
      <c r="K472" s="3" t="s">
        <v>597</v>
      </c>
      <c r="L472" s="3" t="s">
        <v>32</v>
      </c>
      <c r="M472" s="3" t="s">
        <v>1541</v>
      </c>
      <c r="N472" s="8" t="str">
        <f>HYPERLINK("http://slimages.macys.com/is/image/MCY/807332 ")</f>
        <v xml:space="preserve">http://slimages.macys.com/is/image/MCY/807332 </v>
      </c>
    </row>
    <row r="473" spans="1:14" ht="48" x14ac:dyDescent="0.25">
      <c r="A473" s="7" t="s">
        <v>1534</v>
      </c>
      <c r="B473" s="3" t="s">
        <v>1535</v>
      </c>
      <c r="C473" s="4">
        <v>1</v>
      </c>
      <c r="D473" s="5">
        <v>4.09</v>
      </c>
      <c r="E473" s="5">
        <v>9.99</v>
      </c>
      <c r="F473" s="4" t="s">
        <v>1536</v>
      </c>
      <c r="G473" s="3" t="s">
        <v>36</v>
      </c>
      <c r="H473" s="7" t="s">
        <v>1503</v>
      </c>
      <c r="I473" s="5">
        <v>2.5221666666666671</v>
      </c>
      <c r="J473" s="3" t="s">
        <v>380</v>
      </c>
      <c r="K473" s="3" t="s">
        <v>597</v>
      </c>
      <c r="L473" s="3" t="s">
        <v>32</v>
      </c>
      <c r="M473" s="3" t="s">
        <v>303</v>
      </c>
      <c r="N473" s="8" t="str">
        <f>HYPERLINK("http://slimages.macys.com/is/image/MCY/1426090 ")</f>
        <v xml:space="preserve">http://slimages.macys.com/is/image/MCY/1426090 </v>
      </c>
    </row>
    <row r="474" spans="1:14" ht="48" x14ac:dyDescent="0.25">
      <c r="A474" s="7" t="s">
        <v>1534</v>
      </c>
      <c r="B474" s="3" t="s">
        <v>1535</v>
      </c>
      <c r="C474" s="4">
        <v>1</v>
      </c>
      <c r="D474" s="5">
        <v>4.09</v>
      </c>
      <c r="E474" s="5">
        <v>9.99</v>
      </c>
      <c r="F474" s="4" t="s">
        <v>1536</v>
      </c>
      <c r="G474" s="3" t="s">
        <v>36</v>
      </c>
      <c r="H474" s="7" t="s">
        <v>1503</v>
      </c>
      <c r="I474" s="5">
        <v>2.5221666666666671</v>
      </c>
      <c r="J474" s="3" t="s">
        <v>380</v>
      </c>
      <c r="K474" s="3" t="s">
        <v>597</v>
      </c>
      <c r="L474" s="3" t="s">
        <v>32</v>
      </c>
      <c r="M474" s="3" t="s">
        <v>303</v>
      </c>
      <c r="N474" s="8" t="str">
        <f>HYPERLINK("http://slimages.macys.com/is/image/MCY/1426090 ")</f>
        <v xml:space="preserve">http://slimages.macys.com/is/image/MCY/1426090 </v>
      </c>
    </row>
    <row r="475" spans="1:14" ht="84" x14ac:dyDescent="0.25">
      <c r="A475" s="7" t="s">
        <v>1542</v>
      </c>
      <c r="B475" s="3" t="s">
        <v>1543</v>
      </c>
      <c r="C475" s="4">
        <v>1</v>
      </c>
      <c r="D475" s="5">
        <v>4.09</v>
      </c>
      <c r="E475" s="5">
        <v>9.99</v>
      </c>
      <c r="F475" s="4" t="s">
        <v>1544</v>
      </c>
      <c r="G475" s="3" t="s">
        <v>36</v>
      </c>
      <c r="H475" s="7" t="s">
        <v>1503</v>
      </c>
      <c r="I475" s="5">
        <v>2.5221666666666671</v>
      </c>
      <c r="J475" s="3" t="s">
        <v>660</v>
      </c>
      <c r="K475" s="3" t="s">
        <v>597</v>
      </c>
      <c r="L475" s="3" t="s">
        <v>215</v>
      </c>
      <c r="M475" s="3" t="s">
        <v>1545</v>
      </c>
      <c r="N475" s="8" t="str">
        <f>HYPERLINK("http://slimages.macys.com/is/image/MCY/11227170 ")</f>
        <v xml:space="preserve">http://slimages.macys.com/is/image/MCY/11227170 </v>
      </c>
    </row>
    <row r="476" spans="1:14" ht="48" x14ac:dyDescent="0.25">
      <c r="A476" s="7" t="s">
        <v>1546</v>
      </c>
      <c r="B476" s="3" t="s">
        <v>1547</v>
      </c>
      <c r="C476" s="4">
        <v>1</v>
      </c>
      <c r="D476" s="5">
        <v>5</v>
      </c>
      <c r="E476" s="5">
        <v>27.99</v>
      </c>
      <c r="F476" s="4" t="s">
        <v>1548</v>
      </c>
      <c r="G476" s="3" t="s">
        <v>122</v>
      </c>
      <c r="H476" s="7"/>
      <c r="I476" s="5">
        <v>2.5</v>
      </c>
      <c r="J476" s="3" t="s">
        <v>47</v>
      </c>
      <c r="K476" s="3" t="s">
        <v>48</v>
      </c>
      <c r="L476" s="3" t="s">
        <v>32</v>
      </c>
      <c r="M476" s="3" t="s">
        <v>208</v>
      </c>
      <c r="N476" s="8" t="str">
        <f>HYPERLINK("http://slimages.macys.com/is/image/MCY/15706380 ")</f>
        <v xml:space="preserve">http://slimages.macys.com/is/image/MCY/15706380 </v>
      </c>
    </row>
    <row r="477" spans="1:14" ht="48" x14ac:dyDescent="0.25">
      <c r="A477" s="7" t="s">
        <v>1549</v>
      </c>
      <c r="B477" s="3" t="s">
        <v>1550</v>
      </c>
      <c r="C477" s="4">
        <v>1</v>
      </c>
      <c r="D477" s="5">
        <v>4</v>
      </c>
      <c r="E477" s="5">
        <v>10.99</v>
      </c>
      <c r="F477" s="4" t="s">
        <v>1551</v>
      </c>
      <c r="G477" s="3" t="s">
        <v>114</v>
      </c>
      <c r="H477" s="7" t="s">
        <v>1458</v>
      </c>
      <c r="I477" s="5">
        <v>2.4666666666666668</v>
      </c>
      <c r="J477" s="3" t="s">
        <v>660</v>
      </c>
      <c r="K477" s="3" t="s">
        <v>560</v>
      </c>
      <c r="L477" s="3"/>
      <c r="M477" s="3"/>
      <c r="N477" s="8" t="str">
        <f>HYPERLINK("http://slimages.macys.com/is/image/MCY/17707471 ")</f>
        <v xml:space="preserve">http://slimages.macys.com/is/image/MCY/17707471 </v>
      </c>
    </row>
    <row r="478" spans="1:14" ht="48" x14ac:dyDescent="0.25">
      <c r="A478" s="7" t="s">
        <v>1552</v>
      </c>
      <c r="B478" s="3" t="s">
        <v>1553</v>
      </c>
      <c r="C478" s="4">
        <v>3</v>
      </c>
      <c r="D478" s="5">
        <v>3.8</v>
      </c>
      <c r="E478" s="5">
        <v>12.99</v>
      </c>
      <c r="F478" s="4">
        <v>1006327200</v>
      </c>
      <c r="G478" s="3" t="s">
        <v>59</v>
      </c>
      <c r="H478" s="7" t="s">
        <v>1458</v>
      </c>
      <c r="I478" s="5">
        <v>2.3433333333333333</v>
      </c>
      <c r="J478" s="3" t="s">
        <v>802</v>
      </c>
      <c r="K478" s="3" t="s">
        <v>1151</v>
      </c>
      <c r="L478" s="3" t="s">
        <v>32</v>
      </c>
      <c r="M478" s="3" t="s">
        <v>39</v>
      </c>
      <c r="N478" s="8" t="str">
        <f>HYPERLINK("http://slimages.macys.com/is/image/MCY/13893885 ")</f>
        <v xml:space="preserve">http://slimages.macys.com/is/image/MCY/13893885 </v>
      </c>
    </row>
    <row r="479" spans="1:14" ht="48" x14ac:dyDescent="0.25">
      <c r="A479" s="7" t="s">
        <v>1554</v>
      </c>
      <c r="B479" s="3" t="s">
        <v>1555</v>
      </c>
      <c r="C479" s="4">
        <v>1</v>
      </c>
      <c r="D479" s="5">
        <v>3.55</v>
      </c>
      <c r="E479" s="5">
        <v>7.99</v>
      </c>
      <c r="F479" s="4" t="s">
        <v>1556</v>
      </c>
      <c r="G479" s="3" t="s">
        <v>457</v>
      </c>
      <c r="H479" s="7" t="s">
        <v>1458</v>
      </c>
      <c r="I479" s="5">
        <v>2.1891666666666665</v>
      </c>
      <c r="J479" s="3" t="s">
        <v>660</v>
      </c>
      <c r="K479" s="3" t="s">
        <v>680</v>
      </c>
      <c r="L479" s="3" t="s">
        <v>32</v>
      </c>
      <c r="M479" s="3" t="s">
        <v>1557</v>
      </c>
      <c r="N479" s="8" t="str">
        <f>HYPERLINK("http://slimages.macys.com/is/image/MCY/11435967 ")</f>
        <v xml:space="preserve">http://slimages.macys.com/is/image/MCY/11435967 </v>
      </c>
    </row>
    <row r="480" spans="1:14" ht="48" x14ac:dyDescent="0.25">
      <c r="A480" s="7" t="s">
        <v>1558</v>
      </c>
      <c r="B480" s="3" t="s">
        <v>1559</v>
      </c>
      <c r="C480" s="4">
        <v>1</v>
      </c>
      <c r="D480" s="5">
        <v>3.31</v>
      </c>
      <c r="E480" s="5">
        <v>11.99</v>
      </c>
      <c r="F480" s="4">
        <v>1005082900</v>
      </c>
      <c r="G480" s="3" t="s">
        <v>205</v>
      </c>
      <c r="H480" s="7" t="s">
        <v>1458</v>
      </c>
      <c r="I480" s="5">
        <v>2.0411666666666668</v>
      </c>
      <c r="J480" s="3" t="s">
        <v>802</v>
      </c>
      <c r="K480" s="3" t="s">
        <v>491</v>
      </c>
      <c r="L480" s="3" t="s">
        <v>32</v>
      </c>
      <c r="M480" s="3" t="s">
        <v>1270</v>
      </c>
      <c r="N480" s="8" t="str">
        <f>HYPERLINK("http://slimages.macys.com/is/image/MCY/11709707 ")</f>
        <v xml:space="preserve">http://slimages.macys.com/is/image/MCY/11709707 </v>
      </c>
    </row>
    <row r="481" spans="1:14" ht="48" x14ac:dyDescent="0.25">
      <c r="A481" s="7" t="s">
        <v>1560</v>
      </c>
      <c r="B481" s="3" t="s">
        <v>1561</v>
      </c>
      <c r="C481" s="4">
        <v>2</v>
      </c>
      <c r="D481" s="5">
        <v>3.14</v>
      </c>
      <c r="E481" s="5">
        <v>14.99</v>
      </c>
      <c r="F481" s="4">
        <v>1001233000</v>
      </c>
      <c r="G481" s="3" t="s">
        <v>1562</v>
      </c>
      <c r="H481" s="7" t="s">
        <v>1458</v>
      </c>
      <c r="I481" s="5">
        <v>1.9363333333333332</v>
      </c>
      <c r="J481" s="3" t="s">
        <v>802</v>
      </c>
      <c r="K481" s="3" t="s">
        <v>1151</v>
      </c>
      <c r="L481" s="3" t="s">
        <v>32</v>
      </c>
      <c r="M481" s="3"/>
      <c r="N481" s="8" t="str">
        <f>HYPERLINK("http://slimages.macys.com/is/image/MCY/9369374 ")</f>
        <v xml:space="preserve">http://slimages.macys.com/is/image/MCY/9369374 </v>
      </c>
    </row>
    <row r="482" spans="1:14" ht="48" x14ac:dyDescent="0.25">
      <c r="A482" s="7" t="s">
        <v>1563</v>
      </c>
      <c r="B482" s="3" t="s">
        <v>1564</v>
      </c>
      <c r="C482" s="4">
        <v>2</v>
      </c>
      <c r="D482" s="5">
        <v>2.92</v>
      </c>
      <c r="E482" s="5">
        <v>5.99</v>
      </c>
      <c r="F482" s="4">
        <v>878282</v>
      </c>
      <c r="G482" s="3"/>
      <c r="H482" s="7" t="s">
        <v>655</v>
      </c>
      <c r="I482" s="5">
        <v>1.8006666666666669</v>
      </c>
      <c r="J482" s="3" t="s">
        <v>660</v>
      </c>
      <c r="K482" s="3" t="s">
        <v>1565</v>
      </c>
      <c r="L482" s="3" t="s">
        <v>32</v>
      </c>
      <c r="M482" s="3" t="s">
        <v>1566</v>
      </c>
      <c r="N482" s="8" t="str">
        <f>HYPERLINK("http://slimages.macys.com/is/image/MCY/11524658 ")</f>
        <v xml:space="preserve">http://slimages.macys.com/is/image/MCY/11524658 </v>
      </c>
    </row>
    <row r="483" spans="1:14" ht="48" x14ac:dyDescent="0.25">
      <c r="A483" s="7" t="s">
        <v>1567</v>
      </c>
      <c r="B483" s="3" t="s">
        <v>1568</v>
      </c>
      <c r="C483" s="4">
        <v>1</v>
      </c>
      <c r="D483" s="5">
        <v>2.65</v>
      </c>
      <c r="E483" s="5">
        <v>5.99</v>
      </c>
      <c r="F483" s="4" t="s">
        <v>1569</v>
      </c>
      <c r="G483" s="3" t="s">
        <v>457</v>
      </c>
      <c r="H483" s="7" t="s">
        <v>1540</v>
      </c>
      <c r="I483" s="5">
        <v>1.6341666666666668</v>
      </c>
      <c r="J483" s="3" t="s">
        <v>660</v>
      </c>
      <c r="K483" s="3" t="s">
        <v>680</v>
      </c>
      <c r="L483" s="3" t="s">
        <v>32</v>
      </c>
      <c r="M483" s="3" t="s">
        <v>1557</v>
      </c>
      <c r="N483" s="8" t="str">
        <f>HYPERLINK("http://slimages.macys.com/is/image/MCY/11436005 ")</f>
        <v xml:space="preserve">http://slimages.macys.com/is/image/MCY/11436005 </v>
      </c>
    </row>
    <row r="484" spans="1:14" ht="48" x14ac:dyDescent="0.25">
      <c r="A484" s="7" t="s">
        <v>1570</v>
      </c>
      <c r="B484" s="3" t="s">
        <v>1571</v>
      </c>
      <c r="C484" s="4">
        <v>1</v>
      </c>
      <c r="D484" s="5">
        <v>2.2999999999999998</v>
      </c>
      <c r="E484" s="5">
        <v>8.99</v>
      </c>
      <c r="F484" s="4">
        <v>1001233200</v>
      </c>
      <c r="G484" s="3" t="s">
        <v>1562</v>
      </c>
      <c r="H484" s="7" t="s">
        <v>1540</v>
      </c>
      <c r="I484" s="5">
        <v>1.4183333333333334</v>
      </c>
      <c r="J484" s="3" t="s">
        <v>802</v>
      </c>
      <c r="K484" s="3" t="s">
        <v>1151</v>
      </c>
      <c r="L484" s="3" t="s">
        <v>32</v>
      </c>
      <c r="M484" s="3" t="s">
        <v>303</v>
      </c>
      <c r="N484" s="8" t="str">
        <f>HYPERLINK("http://slimages.macys.com/is/image/MCY/9369374 ")</f>
        <v xml:space="preserve">http://slimages.macys.com/is/image/MCY/9369374 </v>
      </c>
    </row>
    <row r="485" spans="1:14" ht="48" x14ac:dyDescent="0.25">
      <c r="A485" s="7" t="s">
        <v>1572</v>
      </c>
      <c r="B485" s="3" t="s">
        <v>1573</v>
      </c>
      <c r="C485" s="4">
        <v>3</v>
      </c>
      <c r="D485" s="5">
        <v>2.09</v>
      </c>
      <c r="E485" s="5">
        <v>7.99</v>
      </c>
      <c r="F485" s="4">
        <v>1006327300</v>
      </c>
      <c r="G485" s="3" t="s">
        <v>59</v>
      </c>
      <c r="H485" s="7" t="s">
        <v>1540</v>
      </c>
      <c r="I485" s="5">
        <v>1.2888333333333333</v>
      </c>
      <c r="J485" s="3" t="s">
        <v>802</v>
      </c>
      <c r="K485" s="3" t="s">
        <v>1151</v>
      </c>
      <c r="L485" s="3" t="s">
        <v>32</v>
      </c>
      <c r="M485" s="3" t="s">
        <v>39</v>
      </c>
      <c r="N485" s="8" t="str">
        <f>HYPERLINK("http://slimages.macys.com/is/image/MCY/13893905 ")</f>
        <v xml:space="preserve">http://slimages.macys.com/is/image/MCY/13893905 </v>
      </c>
    </row>
    <row r="486" spans="1:14" ht="48" x14ac:dyDescent="0.25">
      <c r="A486" s="7" t="s">
        <v>1574</v>
      </c>
      <c r="B486" s="3" t="s">
        <v>1575</v>
      </c>
      <c r="C486" s="4">
        <v>1</v>
      </c>
      <c r="D486" s="5">
        <v>2.09</v>
      </c>
      <c r="E486" s="5">
        <v>7.99</v>
      </c>
      <c r="F486" s="4">
        <v>1006327300</v>
      </c>
      <c r="G486" s="3" t="s">
        <v>154</v>
      </c>
      <c r="H486" s="7" t="s">
        <v>1540</v>
      </c>
      <c r="I486" s="5">
        <v>1.2888333333333333</v>
      </c>
      <c r="J486" s="3" t="s">
        <v>802</v>
      </c>
      <c r="K486" s="3" t="s">
        <v>1151</v>
      </c>
      <c r="L486" s="3" t="s">
        <v>32</v>
      </c>
      <c r="M486" s="3" t="s">
        <v>39</v>
      </c>
      <c r="N486" s="8" t="str">
        <f>HYPERLINK("http://slimages.macys.com/is/image/MCY/13893905 ")</f>
        <v xml:space="preserve">http://slimages.macys.com/is/image/MCY/13893905 </v>
      </c>
    </row>
    <row r="487" spans="1:14" ht="48" x14ac:dyDescent="0.25">
      <c r="A487" s="7" t="s">
        <v>1576</v>
      </c>
      <c r="B487" s="3" t="s">
        <v>1577</v>
      </c>
      <c r="C487" s="4">
        <v>5</v>
      </c>
      <c r="D487" s="5">
        <v>1.69</v>
      </c>
      <c r="E487" s="5">
        <v>6.99</v>
      </c>
      <c r="F487" s="4">
        <v>1003699300</v>
      </c>
      <c r="G487" s="3" t="s">
        <v>94</v>
      </c>
      <c r="H487" s="7" t="s">
        <v>1540</v>
      </c>
      <c r="I487" s="5">
        <v>1.0421666666666667</v>
      </c>
      <c r="J487" s="3" t="s">
        <v>802</v>
      </c>
      <c r="K487" s="3" t="s">
        <v>491</v>
      </c>
      <c r="L487" s="3" t="s">
        <v>32</v>
      </c>
      <c r="M487" s="3" t="s">
        <v>1270</v>
      </c>
      <c r="N487" s="8" t="str">
        <f>HYPERLINK("http://slimages.macys.com/is/image/MCY/11480705 ")</f>
        <v xml:space="preserve">http://slimages.macys.com/is/image/MCY/11480705 </v>
      </c>
    </row>
    <row r="488" spans="1:14" ht="48" x14ac:dyDescent="0.25">
      <c r="A488" s="7" t="s">
        <v>1578</v>
      </c>
      <c r="B488" s="3" t="s">
        <v>1579</v>
      </c>
      <c r="C488" s="4">
        <v>2</v>
      </c>
      <c r="D488" s="5">
        <v>1.69</v>
      </c>
      <c r="E488" s="5">
        <v>6.99</v>
      </c>
      <c r="F488" s="4">
        <v>1003699300</v>
      </c>
      <c r="G488" s="3" t="s">
        <v>64</v>
      </c>
      <c r="H488" s="7" t="s">
        <v>1540</v>
      </c>
      <c r="I488" s="5">
        <v>1.0421666666666667</v>
      </c>
      <c r="J488" s="3" t="s">
        <v>802</v>
      </c>
      <c r="K488" s="3" t="s">
        <v>491</v>
      </c>
      <c r="L488" s="3" t="s">
        <v>32</v>
      </c>
      <c r="M488" s="3" t="s">
        <v>1270</v>
      </c>
      <c r="N488" s="8" t="str">
        <f>HYPERLINK("http://slimages.macys.com/is/image/MCY/11480705 ")</f>
        <v xml:space="preserve">http://slimages.macys.com/is/image/MCY/11480705 </v>
      </c>
    </row>
    <row r="489" spans="1:14" ht="48" x14ac:dyDescent="0.25">
      <c r="A489" s="7" t="s">
        <v>1576</v>
      </c>
      <c r="B489" s="3" t="s">
        <v>1577</v>
      </c>
      <c r="C489" s="4">
        <v>1</v>
      </c>
      <c r="D489" s="5">
        <v>1.69</v>
      </c>
      <c r="E489" s="5">
        <v>6.99</v>
      </c>
      <c r="F489" s="4">
        <v>1003699300</v>
      </c>
      <c r="G489" s="3" t="s">
        <v>94</v>
      </c>
      <c r="H489" s="7" t="s">
        <v>1540</v>
      </c>
      <c r="I489" s="5">
        <v>1.0421666666666667</v>
      </c>
      <c r="J489" s="3" t="s">
        <v>802</v>
      </c>
      <c r="K489" s="3" t="s">
        <v>491</v>
      </c>
      <c r="L489" s="3" t="s">
        <v>32</v>
      </c>
      <c r="M489" s="3" t="s">
        <v>1270</v>
      </c>
      <c r="N489" s="8" t="str">
        <f>HYPERLINK("http://slimages.macys.com/is/image/MCY/11480705 ")</f>
        <v xml:space="preserve">http://slimages.macys.com/is/image/MCY/11480705 </v>
      </c>
    </row>
    <row r="490" spans="1:14" ht="48" x14ac:dyDescent="0.25">
      <c r="A490" s="7" t="s">
        <v>1580</v>
      </c>
      <c r="B490" s="3" t="s">
        <v>1581</v>
      </c>
      <c r="C490" s="4">
        <v>2</v>
      </c>
      <c r="D490" s="5">
        <v>1.62</v>
      </c>
      <c r="E490" s="5">
        <v>7.99</v>
      </c>
      <c r="F490" s="4" t="s">
        <v>1582</v>
      </c>
      <c r="G490" s="3" t="s">
        <v>628</v>
      </c>
      <c r="H490" s="7" t="s">
        <v>1540</v>
      </c>
      <c r="I490" s="5">
        <v>0.99900000000000011</v>
      </c>
      <c r="J490" s="3" t="s">
        <v>802</v>
      </c>
      <c r="K490" s="3" t="s">
        <v>1151</v>
      </c>
      <c r="L490" s="3" t="s">
        <v>32</v>
      </c>
      <c r="M490" s="3" t="s">
        <v>303</v>
      </c>
      <c r="N490" s="8" t="str">
        <f>HYPERLINK("http://slimages.macys.com/is/image/MCY/3639461 ")</f>
        <v xml:space="preserve">http://slimages.macys.com/is/image/MCY/3639461 </v>
      </c>
    </row>
    <row r="491" spans="1:14" ht="48" x14ac:dyDescent="0.25">
      <c r="A491" s="7" t="s">
        <v>1583</v>
      </c>
      <c r="B491" s="3" t="s">
        <v>1584</v>
      </c>
      <c r="C491" s="4">
        <v>1</v>
      </c>
      <c r="D491" s="5">
        <v>1.52</v>
      </c>
      <c r="E491" s="5">
        <v>5.99</v>
      </c>
      <c r="F491" s="4" t="s">
        <v>1585</v>
      </c>
      <c r="G491" s="3" t="s">
        <v>1586</v>
      </c>
      <c r="H491" s="7" t="s">
        <v>1458</v>
      </c>
      <c r="I491" s="5">
        <v>0.93733333333333335</v>
      </c>
      <c r="J491" s="3" t="s">
        <v>660</v>
      </c>
      <c r="K491" s="3" t="s">
        <v>1587</v>
      </c>
      <c r="L491" s="3" t="s">
        <v>32</v>
      </c>
      <c r="M491" s="3" t="s">
        <v>39</v>
      </c>
      <c r="N491" s="8" t="str">
        <f>HYPERLINK("http://slimages.macys.com/is/image/MCY/10028758 ")</f>
        <v xml:space="preserve">http://slimages.macys.com/is/image/MCY/10028758 </v>
      </c>
    </row>
    <row r="492" spans="1:14" ht="48" x14ac:dyDescent="0.25">
      <c r="A492" s="7" t="s">
        <v>1588</v>
      </c>
      <c r="B492" s="3" t="s">
        <v>1589</v>
      </c>
      <c r="C492" s="4">
        <v>1</v>
      </c>
      <c r="D492" s="5">
        <v>1.3</v>
      </c>
      <c r="E492" s="5">
        <v>3.99</v>
      </c>
      <c r="F492" s="4" t="s">
        <v>1590</v>
      </c>
      <c r="G492" s="3" t="s">
        <v>1591</v>
      </c>
      <c r="H492" s="7" t="s">
        <v>1540</v>
      </c>
      <c r="I492" s="5">
        <v>0.80166666666666664</v>
      </c>
      <c r="J492" s="3" t="s">
        <v>660</v>
      </c>
      <c r="K492" s="3" t="s">
        <v>709</v>
      </c>
      <c r="L492" s="3" t="s">
        <v>32</v>
      </c>
      <c r="M492" s="3" t="s">
        <v>39</v>
      </c>
      <c r="N492" s="8" t="str">
        <f>HYPERLINK("http://slimages.macys.com/is/image/MCY/11926122 ")</f>
        <v xml:space="preserve">http://slimages.macys.com/is/image/MCY/11926122 </v>
      </c>
    </row>
    <row r="493" spans="1:14" ht="48" x14ac:dyDescent="0.25">
      <c r="A493" s="7" t="s">
        <v>1592</v>
      </c>
      <c r="B493" s="3" t="s">
        <v>1593</v>
      </c>
      <c r="C493" s="4">
        <v>7</v>
      </c>
      <c r="D493" s="5">
        <v>1.3</v>
      </c>
      <c r="E493" s="5">
        <v>3.99</v>
      </c>
      <c r="F493" s="4" t="s">
        <v>1594</v>
      </c>
      <c r="G493" s="3" t="s">
        <v>628</v>
      </c>
      <c r="H493" s="7" t="s">
        <v>1540</v>
      </c>
      <c r="I493" s="5">
        <v>0.80166666666666664</v>
      </c>
      <c r="J493" s="3" t="s">
        <v>660</v>
      </c>
      <c r="K493" s="3" t="s">
        <v>709</v>
      </c>
      <c r="L493" s="3" t="s">
        <v>32</v>
      </c>
      <c r="M493" s="3" t="s">
        <v>39</v>
      </c>
      <c r="N493" s="8" t="str">
        <f>HYPERLINK("http://slimages.macys.com/is/image/MCY/11926122 ")</f>
        <v xml:space="preserve">http://slimages.macys.com/is/image/MCY/11926122 </v>
      </c>
    </row>
    <row r="494" spans="1:14" ht="48" x14ac:dyDescent="0.25">
      <c r="A494" s="7" t="s">
        <v>1595</v>
      </c>
      <c r="B494" s="3" t="s">
        <v>1596</v>
      </c>
      <c r="C494" s="4">
        <v>1</v>
      </c>
      <c r="D494" s="5">
        <v>1.3</v>
      </c>
      <c r="E494" s="5">
        <v>3.99</v>
      </c>
      <c r="F494" s="4" t="s">
        <v>1597</v>
      </c>
      <c r="G494" s="3" t="s">
        <v>628</v>
      </c>
      <c r="H494" s="7" t="s">
        <v>1540</v>
      </c>
      <c r="I494" s="5">
        <v>0.80166666666666664</v>
      </c>
      <c r="J494" s="3" t="s">
        <v>660</v>
      </c>
      <c r="K494" s="3" t="s">
        <v>709</v>
      </c>
      <c r="L494" s="3" t="s">
        <v>32</v>
      </c>
      <c r="M494" s="3" t="s">
        <v>39</v>
      </c>
      <c r="N494" s="8" t="str">
        <f>HYPERLINK("http://slimages.macys.com/is/image/MCY/11926122 ")</f>
        <v xml:space="preserve">http://slimages.macys.com/is/image/MCY/11926122 </v>
      </c>
    </row>
    <row r="495" spans="1:14" ht="48" x14ac:dyDescent="0.25">
      <c r="A495" s="7" t="s">
        <v>1598</v>
      </c>
      <c r="B495" s="3" t="s">
        <v>1599</v>
      </c>
      <c r="C495" s="4">
        <v>1</v>
      </c>
      <c r="D495" s="5">
        <v>1.3</v>
      </c>
      <c r="E495" s="5">
        <v>3.99</v>
      </c>
      <c r="F495" s="4" t="s">
        <v>1600</v>
      </c>
      <c r="G495" s="3" t="s">
        <v>29</v>
      </c>
      <c r="H495" s="7" t="s">
        <v>1540</v>
      </c>
      <c r="I495" s="5">
        <v>0.80166666666666664</v>
      </c>
      <c r="J495" s="3" t="s">
        <v>660</v>
      </c>
      <c r="K495" s="3" t="s">
        <v>709</v>
      </c>
      <c r="L495" s="3" t="s">
        <v>32</v>
      </c>
      <c r="M495" s="3" t="s">
        <v>39</v>
      </c>
      <c r="N495" s="8" t="str">
        <f>HYPERLINK("http://slimages.macys.com/is/image/MCY/11926122 ")</f>
        <v xml:space="preserve">http://slimages.macys.com/is/image/MCY/11926122 </v>
      </c>
    </row>
    <row r="496" spans="1:14" ht="48" x14ac:dyDescent="0.25">
      <c r="A496" s="7" t="s">
        <v>1601</v>
      </c>
      <c r="B496" s="3" t="s">
        <v>1602</v>
      </c>
      <c r="C496" s="4">
        <v>1</v>
      </c>
      <c r="D496" s="5">
        <v>1.1599999999999999</v>
      </c>
      <c r="E496" s="5">
        <v>3.99</v>
      </c>
      <c r="F496" s="4" t="s">
        <v>1603</v>
      </c>
      <c r="G496" s="3" t="s">
        <v>252</v>
      </c>
      <c r="H496" s="7" t="s">
        <v>1540</v>
      </c>
      <c r="I496" s="5">
        <v>0.71533333333333338</v>
      </c>
      <c r="J496" s="3" t="s">
        <v>660</v>
      </c>
      <c r="K496" s="3" t="s">
        <v>1587</v>
      </c>
      <c r="L496" s="3" t="s">
        <v>32</v>
      </c>
      <c r="M496" s="3" t="s">
        <v>1270</v>
      </c>
      <c r="N496" s="8" t="str">
        <f>HYPERLINK("http://slimages.macys.com/is/image/MCY/13683744 ")</f>
        <v xml:space="preserve">http://slimages.macys.com/is/image/MCY/13683744 </v>
      </c>
    </row>
    <row r="497" spans="1:14" ht="48" x14ac:dyDescent="0.25">
      <c r="A497" s="7" t="s">
        <v>1604</v>
      </c>
      <c r="B497" s="3" t="s">
        <v>1605</v>
      </c>
      <c r="C497" s="4">
        <v>2</v>
      </c>
      <c r="D497" s="5">
        <v>1.04</v>
      </c>
      <c r="E497" s="5">
        <v>4.99</v>
      </c>
      <c r="F497" s="4" t="s">
        <v>1606</v>
      </c>
      <c r="G497" s="3" t="s">
        <v>94</v>
      </c>
      <c r="H497" s="7" t="s">
        <v>1540</v>
      </c>
      <c r="I497" s="5">
        <v>0.64133333333333331</v>
      </c>
      <c r="J497" s="3" t="s">
        <v>660</v>
      </c>
      <c r="K497" s="3" t="s">
        <v>1607</v>
      </c>
      <c r="L497" s="3" t="s">
        <v>32</v>
      </c>
      <c r="M497" s="3" t="s">
        <v>39</v>
      </c>
      <c r="N497" s="8" t="str">
        <f>HYPERLINK("http://slimages.macys.com/is/image/MCY/9404687 ")</f>
        <v xml:space="preserve">http://slimages.macys.com/is/image/MCY/9404687 </v>
      </c>
    </row>
    <row r="498" spans="1:14" ht="60" x14ac:dyDescent="0.25">
      <c r="A498" s="7" t="s">
        <v>1608</v>
      </c>
      <c r="B498" s="3" t="s">
        <v>1609</v>
      </c>
      <c r="C498" s="4">
        <v>1</v>
      </c>
      <c r="D498" s="5">
        <v>68.89</v>
      </c>
      <c r="E498" s="5">
        <v>199.99</v>
      </c>
      <c r="F498" s="4" t="s">
        <v>1610</v>
      </c>
      <c r="G498" s="3" t="s">
        <v>59</v>
      </c>
      <c r="H498" s="7"/>
      <c r="I498" s="5">
        <v>34.445000000000007</v>
      </c>
      <c r="J498" s="3" t="s">
        <v>100</v>
      </c>
      <c r="K498" s="3" t="s">
        <v>101</v>
      </c>
      <c r="L498" s="3"/>
      <c r="M498" s="3"/>
      <c r="N498" s="8"/>
    </row>
    <row r="499" spans="1:14" ht="60" x14ac:dyDescent="0.25">
      <c r="A499" s="7" t="s">
        <v>1611</v>
      </c>
      <c r="B499" s="3" t="s">
        <v>1612</v>
      </c>
      <c r="C499" s="4">
        <v>1</v>
      </c>
      <c r="D499" s="5">
        <v>14.14</v>
      </c>
      <c r="E499" s="5">
        <v>34.99</v>
      </c>
      <c r="F499" s="4" t="s">
        <v>1613</v>
      </c>
      <c r="G499" s="3" t="s">
        <v>59</v>
      </c>
      <c r="H499" s="7"/>
      <c r="I499" s="5">
        <v>8.2483333333333331</v>
      </c>
      <c r="J499" s="3" t="s">
        <v>80</v>
      </c>
      <c r="K499" s="3" t="s">
        <v>1614</v>
      </c>
      <c r="L499" s="3"/>
      <c r="M499" s="3"/>
      <c r="N499" s="8"/>
    </row>
    <row r="500" spans="1:14" ht="60" x14ac:dyDescent="0.25">
      <c r="A500" s="7" t="s">
        <v>1615</v>
      </c>
      <c r="B500" s="3" t="s">
        <v>1616</v>
      </c>
      <c r="C500" s="4">
        <v>2</v>
      </c>
      <c r="D500" s="5">
        <v>11.7</v>
      </c>
      <c r="E500" s="5">
        <v>39.99</v>
      </c>
      <c r="F500" s="4" t="s">
        <v>1617</v>
      </c>
      <c r="G500" s="3" t="s">
        <v>336</v>
      </c>
      <c r="H500" s="7"/>
      <c r="I500" s="5">
        <v>5.85</v>
      </c>
      <c r="J500" s="3" t="s">
        <v>100</v>
      </c>
      <c r="K500" s="3" t="s">
        <v>101</v>
      </c>
      <c r="L500" s="3"/>
      <c r="M500" s="3"/>
      <c r="N500" s="8"/>
    </row>
    <row r="501" spans="1:14" ht="36" x14ac:dyDescent="0.25">
      <c r="A501" s="7" t="s">
        <v>1618</v>
      </c>
      <c r="B501" s="3" t="s">
        <v>1619</v>
      </c>
      <c r="C501" s="4">
        <v>2</v>
      </c>
      <c r="D501" s="5">
        <v>10.5</v>
      </c>
      <c r="E501" s="5">
        <v>26.99</v>
      </c>
      <c r="F501" s="4" t="s">
        <v>1620</v>
      </c>
      <c r="G501" s="3"/>
      <c r="H501" s="7"/>
      <c r="I501" s="5">
        <v>5.25</v>
      </c>
      <c r="J501" s="3" t="s">
        <v>47</v>
      </c>
      <c r="K501" s="3" t="s">
        <v>1378</v>
      </c>
      <c r="L501" s="3"/>
      <c r="M501" s="3"/>
      <c r="N501" s="8"/>
    </row>
    <row r="502" spans="1:14" ht="36" x14ac:dyDescent="0.25">
      <c r="A502" s="7" t="s">
        <v>1621</v>
      </c>
      <c r="B502" s="3" t="s">
        <v>1622</v>
      </c>
      <c r="C502" s="4">
        <v>1</v>
      </c>
      <c r="D502" s="5">
        <v>10</v>
      </c>
      <c r="E502" s="5">
        <v>40</v>
      </c>
      <c r="F502" s="4" t="s">
        <v>1623</v>
      </c>
      <c r="G502" s="3" t="s">
        <v>1194</v>
      </c>
      <c r="H502" s="7" t="s">
        <v>655</v>
      </c>
      <c r="I502" s="5">
        <v>5</v>
      </c>
      <c r="J502" s="3" t="s">
        <v>71</v>
      </c>
      <c r="K502" s="3" t="s">
        <v>1624</v>
      </c>
      <c r="L502" s="3"/>
      <c r="M502" s="3"/>
      <c r="N502" s="8"/>
    </row>
    <row r="503" spans="1:14" ht="48" x14ac:dyDescent="0.25">
      <c r="A503" s="7" t="s">
        <v>1625</v>
      </c>
      <c r="B503" s="3" t="s">
        <v>1626</v>
      </c>
      <c r="C503" s="4">
        <v>1</v>
      </c>
      <c r="D503" s="5">
        <v>3</v>
      </c>
      <c r="E503" s="5">
        <v>8.99</v>
      </c>
      <c r="F503" s="4" t="s">
        <v>1627</v>
      </c>
      <c r="G503" s="3" t="s">
        <v>345</v>
      </c>
      <c r="H503" s="7" t="s">
        <v>1458</v>
      </c>
      <c r="I503" s="5">
        <v>1.8500000000000003</v>
      </c>
      <c r="J503" s="3" t="s">
        <v>660</v>
      </c>
      <c r="K503" s="3" t="s">
        <v>560</v>
      </c>
      <c r="L503" s="3"/>
      <c r="M503" s="3"/>
      <c r="N503" s="8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13296447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2021-06-17T19:40:55Z</dcterms:created>
  <dcterms:modified xsi:type="dcterms:W3CDTF">2021-06-28T19:34:13Z</dcterms:modified>
</cp:coreProperties>
</file>